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3"/>
  <workbookPr/>
  <bookViews>
    <workbookView xWindow="0" yWindow="0" windowWidth="20490" windowHeight="7545" tabRatio="599" firstSheet="128" activeTab="137"/>
  </bookViews>
  <sheets>
    <sheet name="BOM" sheetId="5" r:id="rId1"/>
    <sheet name="SU A0100" sheetId="361" r:id="rId2"/>
    <sheet name="SU 01001" sheetId="362" r:id="rId3"/>
    <sheet name="dSU 01001" sheetId="363" r:id="rId4"/>
    <sheet name="SU 01002" sheetId="364" r:id="rId5"/>
    <sheet name="dSU 01002" sheetId="365" r:id="rId6"/>
    <sheet name="SU 01003" sheetId="366" r:id="rId7"/>
    <sheet name="SU 01004" sheetId="367" r:id="rId8"/>
    <sheet name="SU 01005" sheetId="368" r:id="rId9"/>
    <sheet name="dSU 01005" sheetId="369" r:id="rId10"/>
    <sheet name="SU 01006" sheetId="370" r:id="rId11"/>
    <sheet name="dSU 01006" sheetId="371" r:id="rId12"/>
    <sheet name="SU 01007" sheetId="372" r:id="rId13"/>
    <sheet name="dSU 01007" sheetId="373" r:id="rId14"/>
    <sheet name="SU 01008" sheetId="374" r:id="rId15"/>
    <sheet name="dSU 01008" sheetId="375" r:id="rId16"/>
    <sheet name="SU 01009" sheetId="376" r:id="rId17"/>
    <sheet name="dSU 01009" sheetId="377" r:id="rId18"/>
    <sheet name="SU 01010" sheetId="378" r:id="rId19"/>
    <sheet name="dSU 01010" sheetId="379" r:id="rId20"/>
    <sheet name="SU 01011" sheetId="380" r:id="rId21"/>
    <sheet name="dSU 01011" sheetId="381" r:id="rId22"/>
    <sheet name="SU A0200" sheetId="382" r:id="rId23"/>
    <sheet name="SU 02001" sheetId="383" r:id="rId24"/>
    <sheet name="dSU 02001" sheetId="384" r:id="rId25"/>
    <sheet name="SU 02002" sheetId="385" r:id="rId26"/>
    <sheet name="dSU 02002" sheetId="386" r:id="rId27"/>
    <sheet name="SU 02003" sheetId="387" r:id="rId28"/>
    <sheet name="SU 02004" sheetId="388" r:id="rId29"/>
    <sheet name="SU 02005" sheetId="389" r:id="rId30"/>
    <sheet name="dSU 02005" sheetId="390" r:id="rId31"/>
    <sheet name="SU 02006" sheetId="391" r:id="rId32"/>
    <sheet name="dSU 02006" sheetId="392" r:id="rId33"/>
    <sheet name="SU 02007" sheetId="393" r:id="rId34"/>
    <sheet name="dSU 02007" sheetId="394" r:id="rId35"/>
    <sheet name="SU 02008" sheetId="395" r:id="rId36"/>
    <sheet name="dSU 02008" sheetId="396" r:id="rId37"/>
    <sheet name="SU 02009" sheetId="397" r:id="rId38"/>
    <sheet name="dSU 02009" sheetId="398" r:id="rId39"/>
    <sheet name="SU 02010" sheetId="399" r:id="rId40"/>
    <sheet name="dSU 02010" sheetId="400" r:id="rId41"/>
    <sheet name="SU 02011" sheetId="401" r:id="rId42"/>
    <sheet name="dSU 02011" sheetId="402" r:id="rId43"/>
    <sheet name="SU A0300" sheetId="403" r:id="rId44"/>
    <sheet name="SU 03001" sheetId="404" r:id="rId45"/>
    <sheet name="dSU 03001" sheetId="405" r:id="rId46"/>
    <sheet name="SU 03002" sheetId="406" r:id="rId47"/>
    <sheet name="dSU 03002" sheetId="407" r:id="rId48"/>
    <sheet name="SU 03003" sheetId="408" r:id="rId49"/>
    <sheet name="SU 03004" sheetId="409" r:id="rId50"/>
    <sheet name="SU 03005" sheetId="410" r:id="rId51"/>
    <sheet name="dSU 03005" sheetId="411" r:id="rId52"/>
    <sheet name="SU 03006" sheetId="412" r:id="rId53"/>
    <sheet name="dSU 03006" sheetId="413" r:id="rId54"/>
    <sheet name="SU 03007" sheetId="414" r:id="rId55"/>
    <sheet name="dSU 03007" sheetId="415" r:id="rId56"/>
    <sheet name="SU 03008" sheetId="416" r:id="rId57"/>
    <sheet name="dSU 03008" sheetId="417" r:id="rId58"/>
    <sheet name="SU 03009" sheetId="418" r:id="rId59"/>
    <sheet name="dSU 03009" sheetId="419" r:id="rId60"/>
    <sheet name="SU 03010" sheetId="420" r:id="rId61"/>
    <sheet name="dSU 03010" sheetId="421" r:id="rId62"/>
    <sheet name="SU 03011" sheetId="422" r:id="rId63"/>
    <sheet name="dSU 03011" sheetId="423" r:id="rId64"/>
    <sheet name="SU A0400" sheetId="424" r:id="rId65"/>
    <sheet name="SU 04001" sheetId="425" r:id="rId66"/>
    <sheet name="dSU 04001" sheetId="426" r:id="rId67"/>
    <sheet name="SU 04002" sheetId="427" r:id="rId68"/>
    <sheet name="dSU 04002" sheetId="428" r:id="rId69"/>
    <sheet name="SU 04003" sheetId="429" r:id="rId70"/>
    <sheet name="SU 04004" sheetId="430" r:id="rId71"/>
    <sheet name="SU 04005" sheetId="431" r:id="rId72"/>
    <sheet name="dSU 04005" sheetId="432" r:id="rId73"/>
    <sheet name="SU 04006" sheetId="433" r:id="rId74"/>
    <sheet name="dSU 04006" sheetId="434" r:id="rId75"/>
    <sheet name="SU 04007" sheetId="435" r:id="rId76"/>
    <sheet name="dSU 04007" sheetId="436" r:id="rId77"/>
    <sheet name="SU 04008" sheetId="437" r:id="rId78"/>
    <sheet name="dSU 04008" sheetId="438" r:id="rId79"/>
    <sheet name="SU 04009" sheetId="439" r:id="rId80"/>
    <sheet name="dSU 04009" sheetId="440" r:id="rId81"/>
    <sheet name="SU 04010" sheetId="441" r:id="rId82"/>
    <sheet name="dSU 04010" sheetId="442" r:id="rId83"/>
    <sheet name="SU 04011" sheetId="443" r:id="rId84"/>
    <sheet name="dSU 04011" sheetId="444" r:id="rId85"/>
    <sheet name="SU A0500" sheetId="445" r:id="rId86"/>
    <sheet name="SU 05001" sheetId="446" r:id="rId87"/>
    <sheet name="dSU 05001" sheetId="447" r:id="rId88"/>
    <sheet name="SU A0600" sheetId="448" r:id="rId89"/>
    <sheet name="SU 06001" sheetId="449" r:id="rId90"/>
    <sheet name="SU 06002" sheetId="450" r:id="rId91"/>
    <sheet name="SU 06003" sheetId="451" r:id="rId92"/>
    <sheet name="dSU 06003" sheetId="452" r:id="rId93"/>
    <sheet name="SU 06004" sheetId="453" r:id="rId94"/>
    <sheet name="SU A0700" sheetId="454" r:id="rId95"/>
    <sheet name="SU 07001" sheetId="455" r:id="rId96"/>
    <sheet name="dSU 07001" sheetId="456" r:id="rId97"/>
    <sheet name="SU A0800" sheetId="457" r:id="rId98"/>
    <sheet name="SU 08001" sheetId="458" r:id="rId99"/>
    <sheet name="SU 08002" sheetId="459" r:id="rId100"/>
    <sheet name="dSU 08002" sheetId="460" r:id="rId101"/>
    <sheet name="SU 08003" sheetId="461" r:id="rId102"/>
    <sheet name="SU A0900" sheetId="462" r:id="rId103"/>
    <sheet name="SU 09001" sheetId="463" r:id="rId104"/>
    <sheet name="SU 09002" sheetId="464" r:id="rId105"/>
    <sheet name="SU 09003" sheetId="466" r:id="rId106"/>
    <sheet name="dSU 09003" sheetId="467" r:id="rId107"/>
    <sheet name="SU 09004" sheetId="468" r:id="rId108"/>
    <sheet name="dSU 09004" sheetId="469" r:id="rId109"/>
    <sheet name="SU A1000" sheetId="470" r:id="rId110"/>
    <sheet name="SU 10001" sheetId="471" r:id="rId111"/>
    <sheet name="dSU 10001" sheetId="472" r:id="rId112"/>
    <sheet name="SU 10002" sheetId="473" r:id="rId113"/>
    <sheet name="dSU 10002" sheetId="474" r:id="rId114"/>
    <sheet name="SU 10003" sheetId="475" r:id="rId115"/>
    <sheet name="dSU 10003" sheetId="476" r:id="rId116"/>
    <sheet name="SU 10004" sheetId="477" r:id="rId117"/>
    <sheet name="dSU 10004" sheetId="478" r:id="rId118"/>
    <sheet name="SU 10005" sheetId="479" r:id="rId119"/>
    <sheet name="dSU 10005" sheetId="480" r:id="rId120"/>
    <sheet name="SU A1100 " sheetId="481" r:id="rId121"/>
    <sheet name="SU 11001" sheetId="482" r:id="rId122"/>
    <sheet name="dSU 11001" sheetId="483" r:id="rId123"/>
    <sheet name="SU 11002" sheetId="484" r:id="rId124"/>
    <sheet name="dSU 11002" sheetId="485" r:id="rId125"/>
    <sheet name="SU 11003" sheetId="486" r:id="rId126"/>
    <sheet name="dSU 11003" sheetId="487" r:id="rId127"/>
    <sheet name="SU 11004" sheetId="488" r:id="rId128"/>
    <sheet name="dSU 11004" sheetId="489" r:id="rId129"/>
    <sheet name="SU A1200" sheetId="490" r:id="rId130"/>
    <sheet name="SU 12001" sheetId="491" r:id="rId131"/>
    <sheet name="SU 12002" sheetId="492" r:id="rId132"/>
    <sheet name="SU 12003" sheetId="494" r:id="rId133"/>
    <sheet name="SU 12004" sheetId="496" r:id="rId134"/>
    <sheet name="SU A1300" sheetId="498" r:id="rId135"/>
    <sheet name="SU 13001" sheetId="499" r:id="rId136"/>
    <sheet name="dSU 13001" sheetId="500" r:id="rId137"/>
    <sheet name="SU 13002" sheetId="501" r:id="rId138"/>
    <sheet name="dSU 13002" sheetId="502" r:id="rId139"/>
  </sheets>
  <externalReferences>
    <externalReference r:id="rId140"/>
    <externalReference r:id="rId141"/>
    <externalReference r:id="rId142"/>
    <externalReference r:id="rId143"/>
    <externalReference r:id="rId144"/>
    <externalReference r:id="rId145"/>
  </externalReferences>
  <definedNames>
    <definedName name="a">#REF!</definedName>
    <definedName name="BR_01001">#REF!</definedName>
    <definedName name="BR_01001_m">#REF!</definedName>
    <definedName name="BR_01001_p">#REF!</definedName>
    <definedName name="BR_01001_q">#REF!</definedName>
    <definedName name="BR_01002">#REF!</definedName>
    <definedName name="BR_01002_m">#REF!</definedName>
    <definedName name="BR_01002_p">#REF!</definedName>
    <definedName name="BR_01002_q">#REF!</definedName>
    <definedName name="BR_01003">#REF!</definedName>
    <definedName name="BR_01003_m">#REF!</definedName>
    <definedName name="BR_01003_p">#REF!</definedName>
    <definedName name="BR_01003_q">#REF!</definedName>
    <definedName name="BR_01004">#REF!</definedName>
    <definedName name="BR_01004_m">#REF!</definedName>
    <definedName name="BR_01004_p">#REF!</definedName>
    <definedName name="BR_01004_q">#REF!</definedName>
    <definedName name="BR_02001">#REF!</definedName>
    <definedName name="BR_02001_m">#REF!</definedName>
    <definedName name="BR_02001_p">#REF!</definedName>
    <definedName name="BR_02001_q">#REF!</definedName>
    <definedName name="BR_02002">#REF!</definedName>
    <definedName name="BR_02002_m">#REF!</definedName>
    <definedName name="BR_02002_p">#REF!</definedName>
    <definedName name="BR_02002_q">#REF!</definedName>
    <definedName name="BR_02003">#REF!</definedName>
    <definedName name="BR_02003_m">#REF!</definedName>
    <definedName name="BR_02003_p">#REF!</definedName>
    <definedName name="BR_02003_q">#REF!</definedName>
    <definedName name="BR_02004">#REF!</definedName>
    <definedName name="BR_02004_m">#REF!</definedName>
    <definedName name="BR_02004_p">#REF!</definedName>
    <definedName name="BR_02004_q">#REF!</definedName>
    <definedName name="BR_03001">#REF!</definedName>
    <definedName name="BR_03001_m">#REF!</definedName>
    <definedName name="BR_03001_p">#REF!</definedName>
    <definedName name="BR_03001_q">#REF!</definedName>
    <definedName name="BR_03002">#REF!</definedName>
    <definedName name="BR_03002_m">#REF!</definedName>
    <definedName name="BR_03002_p">#REF!</definedName>
    <definedName name="BR_03002_q">#REF!</definedName>
    <definedName name="BR_03003">#REF!</definedName>
    <definedName name="BR_03003_m">#REF!</definedName>
    <definedName name="BR_03003_p">#REF!</definedName>
    <definedName name="BR_03003_q">#REF!</definedName>
    <definedName name="BR_03004">#REF!</definedName>
    <definedName name="BR_03004_m">#REF!</definedName>
    <definedName name="BR_03004_p">#REF!</definedName>
    <definedName name="BR_03004_q">#REF!</definedName>
    <definedName name="BR_A0001">#REF!</definedName>
    <definedName name="BR_A0001_BOM">BOM!#REF!</definedName>
    <definedName name="BR_A0001_f">#REF!</definedName>
    <definedName name="BR_A0001_m">#REF!</definedName>
    <definedName name="BR_A0001_p">#REF!</definedName>
    <definedName name="BR_A0001_pa">#REF!</definedName>
    <definedName name="BR_A0001_q">#REF!</definedName>
    <definedName name="BR_A0001_t" hidden="1">'[1]ST Assembly'!$I$48</definedName>
    <definedName name="BR_A0002">#REF!</definedName>
    <definedName name="BR_A0002_BOM">BOM!#REF!</definedName>
    <definedName name="BR_A0002_f">#REF!</definedName>
    <definedName name="BR_A0002_m">#REF!</definedName>
    <definedName name="BR_A0002_p">#REF!</definedName>
    <definedName name="BR_A0002_pa">#REF!</definedName>
    <definedName name="BR_A0002_q">#REF!</definedName>
    <definedName name="BR_A0003">#REF!</definedName>
    <definedName name="BR_A0003_BOM">BOM!#REF!</definedName>
    <definedName name="BR_A0003_f">#REF!</definedName>
    <definedName name="BR_A0003_m">#REF!</definedName>
    <definedName name="BR_A0003_p">#REF!</definedName>
    <definedName name="BR_A0003_pa">#REF!</definedName>
    <definedName name="BR_A0003_q">#REF!</definedName>
    <definedName name="BR_A0003_t">#REF!</definedName>
    <definedName name="Cout_total">#REF!</definedName>
    <definedName name="dBR_01002">#REF!</definedName>
    <definedName name="dBR_01004">#REF!</definedName>
    <definedName name="dBR_02002">#REF!</definedName>
    <definedName name="dBR_02004">#REF!</definedName>
    <definedName name="dEL_01002">#REF!</definedName>
    <definedName name="dEL_01003">#REF!</definedName>
    <definedName name="dEL_01005">#REF!</definedName>
    <definedName name="dEL_01006">#REF!</definedName>
    <definedName name="dEL_02004">#REF!</definedName>
    <definedName name="dEL_03001">#REF!</definedName>
    <definedName name="dEL_03002">#REF!</definedName>
    <definedName name="dEL_03003">#REF!</definedName>
    <definedName name="dEN_0300_002">#REF!</definedName>
    <definedName name="dEN_0300_009">#REF!</definedName>
    <definedName name="dEN_0300_010">#REF!</definedName>
    <definedName name="dEN_0300_011">#REF!</definedName>
    <definedName name="dEN_0300_012">#REF!</definedName>
    <definedName name="dEN_0300_013">#REF!</definedName>
    <definedName name="dST_05002">#REF!</definedName>
    <definedName name="dST_05003">#REF!</definedName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#REF!</definedName>
    <definedName name="dSU_09003">'dSU 09003'!$A$1</definedName>
    <definedName name="dSU_09004">'dSU 09004'!$A$1</definedName>
    <definedName name="dSU_10001">'dSU 10001'!$A$1</definedName>
    <definedName name="dSU_10002">'dSU 10002'!$A$1</definedName>
    <definedName name="dSU_10003">'dSU 10003'!$A$1</definedName>
    <definedName name="dSU_10004">'dSU 10004'!$A$1</definedName>
    <definedName name="dSU_10005">'dSU 10005'!$A$1</definedName>
    <definedName name="dSU_11001">'dSU 11001'!$A$1</definedName>
    <definedName name="dSU_11002">'dSU 11002'!$A$1</definedName>
    <definedName name="dSU_11003">'dSU 11003'!$A$1</definedName>
    <definedName name="dSU_11004">'dSU 11004'!$A$1</definedName>
    <definedName name="dSU_12002">#REF!</definedName>
    <definedName name="dSU_12003">#REF!</definedName>
    <definedName name="dSU_12004">#REF!</definedName>
    <definedName name="dSU_13001">'dSU 13001'!$A$1</definedName>
    <definedName name="dSU_13002">'dSU 13002'!$A$1</definedName>
    <definedName name="dSU_510_001">#REF!</definedName>
    <definedName name="dWT_02001">#REF!</definedName>
    <definedName name="dWT_02002">#REF!</definedName>
    <definedName name="dWT_02003">#REF!</definedName>
    <definedName name="dWT_02004">#REF!</definedName>
    <definedName name="dWT_02005">#REF!</definedName>
    <definedName name="dWT_03001">#REF!</definedName>
    <definedName name="dWT_03002">#REF!</definedName>
    <definedName name="dWT_03003">#REF!</definedName>
    <definedName name="dWT_03004">#REF!</definedName>
    <definedName name="dWT_03005">#REF!</definedName>
    <definedName name="EL_01001">#REF!</definedName>
    <definedName name="EL_01001_m">#REF!</definedName>
    <definedName name="EL_01001_p">#REF!</definedName>
    <definedName name="EL_01001_q">#REF!</definedName>
    <definedName name="EL_01002">#REF!</definedName>
    <definedName name="EL_01002_m">#REF!</definedName>
    <definedName name="EL_01002_p">#REF!</definedName>
    <definedName name="EL_01002_q">#REF!</definedName>
    <definedName name="EL_01003">#REF!</definedName>
    <definedName name="EL_01003_m">#REF!</definedName>
    <definedName name="EL_01003_p">#REF!</definedName>
    <definedName name="EL_01003_q">#REF!</definedName>
    <definedName name="EL_01004">#REF!</definedName>
    <definedName name="EL_01004_m">#REF!</definedName>
    <definedName name="EL_01004_p">#REF!</definedName>
    <definedName name="EL_01004_q">#REF!</definedName>
    <definedName name="EL_01005">#REF!</definedName>
    <definedName name="EL_01005_m">#REF!</definedName>
    <definedName name="EL_01005_p">#REF!</definedName>
    <definedName name="EL_01005_q">#REF!</definedName>
    <definedName name="EL_01006">#REF!</definedName>
    <definedName name="EL_01006_m">#REF!</definedName>
    <definedName name="EL_01006_p">#REF!</definedName>
    <definedName name="EL_01006_q">#REF!</definedName>
    <definedName name="EL_02001">#REF!</definedName>
    <definedName name="EL_02001_m">#REF!</definedName>
    <definedName name="EL_02001_p">#REF!</definedName>
    <definedName name="EL_02001_q">#REF!</definedName>
    <definedName name="EL_02001_t">#REF!</definedName>
    <definedName name="EL_02002">#REF!</definedName>
    <definedName name="EL_02002_f">#REF!</definedName>
    <definedName name="EL_02002_m">#REF!</definedName>
    <definedName name="EL_02002_p">#REF!</definedName>
    <definedName name="EL_02002_q">#REF!</definedName>
    <definedName name="EL_02003">#REF!</definedName>
    <definedName name="EL_02003_m">#REF!</definedName>
    <definedName name="EL_02003_p">#REF!</definedName>
    <definedName name="EL_02003_q">#REF!</definedName>
    <definedName name="EL_02004">#REF!</definedName>
    <definedName name="EL_02004_m">#REF!</definedName>
    <definedName name="EL_02004_p">#REF!</definedName>
    <definedName name="EL_02004_q">#REF!</definedName>
    <definedName name="EL_03001">#REF!</definedName>
    <definedName name="EL_03001_m">#REF!</definedName>
    <definedName name="EL_03001_p">#REF!</definedName>
    <definedName name="EL_03001_q">#REF!</definedName>
    <definedName name="EL_03002">#REF!</definedName>
    <definedName name="EL_03002_m">#REF!</definedName>
    <definedName name="EL_03002_p">#REF!</definedName>
    <definedName name="EL_03002_q">#REF!</definedName>
    <definedName name="EL_03003">#REF!</definedName>
    <definedName name="EL_03003_m">#REF!</definedName>
    <definedName name="EL_03003_p">#REF!</definedName>
    <definedName name="EL_03003_q">#REF!</definedName>
    <definedName name="EL_A0001">#REF!</definedName>
    <definedName name="EL_A0001_BOM">BOM!#REF!</definedName>
    <definedName name="EL_A0001_f">#REF!</definedName>
    <definedName name="EL_A0001_m">#REF!</definedName>
    <definedName name="EL_A0001_p">#REF!</definedName>
    <definedName name="EL_A0001_pa">#REF!</definedName>
    <definedName name="EL_A0001_q">#REF!</definedName>
    <definedName name="EL_A0001_t">#REF!</definedName>
    <definedName name="EL_A0002">#REF!</definedName>
    <definedName name="EL_A0002_BOM">BOM!#REF!</definedName>
    <definedName name="EL_A0002_f">#REF!</definedName>
    <definedName name="EL_A0002_m">#REF!</definedName>
    <definedName name="EL_A0002_p">#REF!</definedName>
    <definedName name="EL_A0002_pa">#REF!</definedName>
    <definedName name="EL_A0002_q">#REF!</definedName>
    <definedName name="EL_A0002_t">#REF!</definedName>
    <definedName name="EL_A0003">#REF!</definedName>
    <definedName name="EL_A0003_BOM">BOM!#REF!</definedName>
    <definedName name="EL_A0003_f">#REF!</definedName>
    <definedName name="EL_A0003_m">#REF!</definedName>
    <definedName name="EL_A0003_p">#REF!</definedName>
    <definedName name="EL_A0003_pa">#REF!</definedName>
    <definedName name="EL_A0003_q">#REF!</definedName>
    <definedName name="EL_A0003_t">#REF!</definedName>
    <definedName name="EN_01001">#REF!</definedName>
    <definedName name="EN_01001_f">#REF!</definedName>
    <definedName name="EN_01001_m">#REF!</definedName>
    <definedName name="EN_01001_p">#REF!</definedName>
    <definedName name="EN_01001_q">#REF!</definedName>
    <definedName name="EN_01001_t">#REF!</definedName>
    <definedName name="EN_01002">#REF!</definedName>
    <definedName name="EN_01002_m">#REF!</definedName>
    <definedName name="EN_01002_p">#REF!</definedName>
    <definedName name="EN_01002_q">#REF!</definedName>
    <definedName name="EN_01003">#REF!</definedName>
    <definedName name="EN_01003_m">#REF!</definedName>
    <definedName name="EN_01003_p">#REF!</definedName>
    <definedName name="EN_01003_q">#REF!</definedName>
    <definedName name="EN_02001">#REF!</definedName>
    <definedName name="EN_02001_f">#REF!</definedName>
    <definedName name="EN_02001_m">#REF!</definedName>
    <definedName name="EN_02001_p">#REF!</definedName>
    <definedName name="EN_02001_q">#REF!</definedName>
    <definedName name="EN_02001_t">#REF!</definedName>
    <definedName name="EN_02002">#REF!</definedName>
    <definedName name="EN_02002_m">#REF!</definedName>
    <definedName name="EN_02002_p">#REF!</definedName>
    <definedName name="EN_02002_q">#REF!</definedName>
    <definedName name="EN_02003">#REF!</definedName>
    <definedName name="EN_02003_m">#REF!</definedName>
    <definedName name="EN_02003_p">#REF!</definedName>
    <definedName name="EN_02003_q">#REF!</definedName>
    <definedName name="EN_02003_t">#REF!</definedName>
    <definedName name="EN_02004">#REF!</definedName>
    <definedName name="EN_02004_m">#REF!</definedName>
    <definedName name="EN_02004_p">#REF!</definedName>
    <definedName name="EN_02004_q">#REF!</definedName>
    <definedName name="EN_02004_t">#REF!</definedName>
    <definedName name="EN_02005">#REF!</definedName>
    <definedName name="EN_02005_m">#REF!</definedName>
    <definedName name="EN_02005_p">#REF!</definedName>
    <definedName name="EN_02005_q">#REF!</definedName>
    <definedName name="EN_02005_t">#REF!</definedName>
    <definedName name="EN_02006">#REF!</definedName>
    <definedName name="EN_02006_m">#REF!</definedName>
    <definedName name="EN_02006_p">#REF!</definedName>
    <definedName name="EN_02006_q">#REF!</definedName>
    <definedName name="EN_02006_t">#REF!</definedName>
    <definedName name="EN_02007">#REF!</definedName>
    <definedName name="EN_02007_m">#REF!</definedName>
    <definedName name="EN_02007_p">#REF!</definedName>
    <definedName name="EN_02007_q">#REF!</definedName>
    <definedName name="EN_02007_t">#REF!</definedName>
    <definedName name="EN_02008">#REF!</definedName>
    <definedName name="EN_02008_m">#REF!</definedName>
    <definedName name="EN_02008_p">#REF!</definedName>
    <definedName name="EN_02008_q">#REF!</definedName>
    <definedName name="EN_02009">#REF!</definedName>
    <definedName name="EN_02009_m">#REF!</definedName>
    <definedName name="EN_02009_p">#REF!</definedName>
    <definedName name="EN_02009_q">#REF!</definedName>
    <definedName name="EN_02009_t">#REF!</definedName>
    <definedName name="EN_02010">#REF!</definedName>
    <definedName name="EN_02010_m">#REF!</definedName>
    <definedName name="EN_02010_p">#REF!</definedName>
    <definedName name="EN_02010_q">#REF!</definedName>
    <definedName name="EN_02010_t">#REF!</definedName>
    <definedName name="EN_0300_001">#REF!</definedName>
    <definedName name="EN_0300_001_f">#REF!</definedName>
    <definedName name="EN_0300_001_m">#REF!</definedName>
    <definedName name="EN_0300_001_p">#REF!</definedName>
    <definedName name="EN_0300_001_q">#REF!</definedName>
    <definedName name="EN_0300_001_t">#REF!</definedName>
    <definedName name="EN_0300_002">#REF!</definedName>
    <definedName name="EN_0300_002_f">#REF!</definedName>
    <definedName name="EN_0300_002_m">#REF!</definedName>
    <definedName name="EN_0300_002_p">#REF!</definedName>
    <definedName name="EN_0300_002_q">#REF!</definedName>
    <definedName name="EN_0300_002_t">#REF!</definedName>
    <definedName name="EN_0300_003">#REF!</definedName>
    <definedName name="EN_0300_003_f">#REF!</definedName>
    <definedName name="EN_0300_003_m">#REF!</definedName>
    <definedName name="EN_0300_003_p">#REF!</definedName>
    <definedName name="EN_0300_003_q">#REF!</definedName>
    <definedName name="EN_0300_003_t">#REF!</definedName>
    <definedName name="EN_0300_004">#REF!</definedName>
    <definedName name="EN_0300_004_f">#REF!</definedName>
    <definedName name="EN_0300_004_m">#REF!</definedName>
    <definedName name="EN_0300_004_p">#REF!</definedName>
    <definedName name="EN_0300_004_q">#REF!</definedName>
    <definedName name="EN_0300_004_t">#REF!</definedName>
    <definedName name="EN_0300_005">#REF!</definedName>
    <definedName name="EN_0300_005_f">#REF!</definedName>
    <definedName name="EN_0300_005_m">#REF!</definedName>
    <definedName name="EN_0300_005_p">#REF!</definedName>
    <definedName name="EN_0300_005_q">#REF!</definedName>
    <definedName name="EN_0300_005_t">#REF!</definedName>
    <definedName name="EN_0300_006">#REF!</definedName>
    <definedName name="EN_0300_006_f">#REF!</definedName>
    <definedName name="EN_0300_006_m">#REF!</definedName>
    <definedName name="EN_0300_006_p">#REF!</definedName>
    <definedName name="EN_0300_006_q">#REF!</definedName>
    <definedName name="EN_0300_006_t">#REF!</definedName>
    <definedName name="EN_0300_007">#REF!</definedName>
    <definedName name="EN_0300_007_f">#REF!</definedName>
    <definedName name="EN_0300_007_m">#REF!</definedName>
    <definedName name="EN_0300_007_p">#REF!</definedName>
    <definedName name="EN_0300_007_q">#REF!</definedName>
    <definedName name="EN_0300_007_t">#REF!</definedName>
    <definedName name="EN_0300_008">#REF!</definedName>
    <definedName name="EN_0300_008_f">#REF!</definedName>
    <definedName name="EN_0300_008_m">#REF!</definedName>
    <definedName name="EN_0300_008_p">#REF!</definedName>
    <definedName name="EN_0300_008_q">#REF!</definedName>
    <definedName name="EN_0300_008_t">#REF!</definedName>
    <definedName name="EN_0400_001">#REF!</definedName>
    <definedName name="EN_0400_001_f">#REF!</definedName>
    <definedName name="EN_0400_001_m">#REF!</definedName>
    <definedName name="EN_0400_001_p">#REF!</definedName>
    <definedName name="EN_0400_001_q">#REF!</definedName>
    <definedName name="EN_0400_001_t">#REF!</definedName>
    <definedName name="EN_0400_002">#REF!</definedName>
    <definedName name="EN_0400_002_f">#REF!</definedName>
    <definedName name="EN_0400_002_m">#REF!</definedName>
    <definedName name="EN_0400_002_p">#REF!</definedName>
    <definedName name="EN_0400_002_q">#REF!</definedName>
    <definedName name="EN_0400_002_t">#REF!</definedName>
    <definedName name="EN_0400_003">#REF!</definedName>
    <definedName name="EN_0400_003_f">#REF!</definedName>
    <definedName name="EN_0400_003_m">#REF!</definedName>
    <definedName name="EN_0400_003_p">#REF!</definedName>
    <definedName name="EN_0400_003_q">#REF!</definedName>
    <definedName name="EN_0400_003_t">#REF!</definedName>
    <definedName name="EN_0400_004">#REF!</definedName>
    <definedName name="EN_0400_004_f">#REF!</definedName>
    <definedName name="EN_0400_004_m">#REF!</definedName>
    <definedName name="EN_0400_004_p">#REF!</definedName>
    <definedName name="EN_0400_004_q">#REF!</definedName>
    <definedName name="EN_0400_004_t">#REF!</definedName>
    <definedName name="EN_0400_005">#REF!</definedName>
    <definedName name="EN_0400_005_f">#REF!</definedName>
    <definedName name="EN_0400_005_m">#REF!</definedName>
    <definedName name="EN_0400_005_p">#REF!</definedName>
    <definedName name="EN_0400_005_q">#REF!</definedName>
    <definedName name="EN_0400_005_t">#REF!</definedName>
    <definedName name="EN_0400_006">#REF!</definedName>
    <definedName name="EN_0400_006_f">#REF!</definedName>
    <definedName name="EN_0400_006_m">#REF!</definedName>
    <definedName name="EN_0400_006_p">#REF!</definedName>
    <definedName name="EN_0400_006_q">#REF!</definedName>
    <definedName name="EN_0400_006_t">#REF!</definedName>
    <definedName name="EN_0400_007">#REF!</definedName>
    <definedName name="EN_0400_007_f">#REF!</definedName>
    <definedName name="EN_0400_007_m">#REF!</definedName>
    <definedName name="EN_0400_007_p">#REF!</definedName>
    <definedName name="EN_0400_007_q">#REF!</definedName>
    <definedName name="EN_0400_007_t">#REF!</definedName>
    <definedName name="EN_0400_008">#REF!</definedName>
    <definedName name="EN_0400_008_f">#REF!</definedName>
    <definedName name="EN_0400_008_m">#REF!</definedName>
    <definedName name="EN_0400_008_p">#REF!</definedName>
    <definedName name="EN_0400_008_q">#REF!</definedName>
    <definedName name="EN_0400_008_t">#REF!</definedName>
    <definedName name="EN_0400_009">#REF!</definedName>
    <definedName name="EN_0400_009_f">#REF!</definedName>
    <definedName name="EN_0400_009_m">#REF!</definedName>
    <definedName name="EN_0400_009_p">#REF!</definedName>
    <definedName name="EN_0400_009_q">#REF!</definedName>
    <definedName name="EN_0400_009_t">#REF!</definedName>
    <definedName name="EN_04001_q">'[2]EN Parts'!$N$541</definedName>
    <definedName name="EN_04002_q">'[2]EN Parts'!$N$572</definedName>
    <definedName name="EN_04003_q">'[2]EN Parts'!$N$594</definedName>
    <definedName name="EN_04004_q">'[2]EN Parts'!$N$616</definedName>
    <definedName name="EN_04005_q">'[2]EN Parts'!$N$637</definedName>
    <definedName name="EN_04006_q">'[2]EN Parts'!$N$658</definedName>
    <definedName name="EN_05001">#REF!</definedName>
    <definedName name="EN_05001_m">#REF!</definedName>
    <definedName name="EN_05001_p">#REF!</definedName>
    <definedName name="EN_05001_q">#REF!</definedName>
    <definedName name="EN_05001_t">#REF!</definedName>
    <definedName name="EN_05002">#REF!</definedName>
    <definedName name="EN_05002_m">#REF!</definedName>
    <definedName name="EN_05002_p">#REF!</definedName>
    <definedName name="EN_05002_q">#REF!</definedName>
    <definedName name="EN_05003">#REF!</definedName>
    <definedName name="EN_05003_f">#REF!</definedName>
    <definedName name="EN_05003_m">#REF!</definedName>
    <definedName name="EN_05003_p">#REF!</definedName>
    <definedName name="EN_05003_q">#REF!</definedName>
    <definedName name="EN_05003_t">#REF!</definedName>
    <definedName name="EN_05004">#REF!</definedName>
    <definedName name="EN_05004_m">#REF!</definedName>
    <definedName name="EN_05004_p">#REF!</definedName>
    <definedName name="EN_05004_q">#REF!</definedName>
    <definedName name="EN_05005">#REF!</definedName>
    <definedName name="EN_05005_m">#REF!</definedName>
    <definedName name="EN_05005_p">#REF!</definedName>
    <definedName name="EN_05005_q">#REF!</definedName>
    <definedName name="EN_06001">#REF!</definedName>
    <definedName name="EN_06001_m">#REF!</definedName>
    <definedName name="EN_06001_p">#REF!</definedName>
    <definedName name="EN_06001_q">#REF!</definedName>
    <definedName name="EN_06001_t">#REF!</definedName>
    <definedName name="EN_06002">#REF!</definedName>
    <definedName name="EN_06002_m">#REF!</definedName>
    <definedName name="EN_06002_p">#REF!</definedName>
    <definedName name="EN_06002_q">#REF!</definedName>
    <definedName name="EN_06003">#REF!</definedName>
    <definedName name="EN_06003_m">#REF!</definedName>
    <definedName name="EN_06003_p">#REF!</definedName>
    <definedName name="EN_06003_q">#REF!</definedName>
    <definedName name="EN_06004">#REF!</definedName>
    <definedName name="EN_06004_m">#REF!</definedName>
    <definedName name="EN_06004_p">#REF!</definedName>
    <definedName name="EN_06004_q">#REF!</definedName>
    <definedName name="EN_08001">#REF!</definedName>
    <definedName name="EN_08001_m">#REF!</definedName>
    <definedName name="EN_08001_p">#REF!</definedName>
    <definedName name="EN_08001_q">#REF!</definedName>
    <definedName name="EN_08002">#REF!</definedName>
    <definedName name="EN_08002_m">#REF!</definedName>
    <definedName name="EN_08002_p">#REF!</definedName>
    <definedName name="EN_08002_q">#REF!</definedName>
    <definedName name="EN_08003">#REF!</definedName>
    <definedName name="EN_08003_m">#REF!</definedName>
    <definedName name="EN_08003_p">#REF!</definedName>
    <definedName name="EN_08003_q">#REF!</definedName>
    <definedName name="EN_08004">#REF!</definedName>
    <definedName name="EN_08004_m">#REF!</definedName>
    <definedName name="EN_08004_p">#REF!</definedName>
    <definedName name="EN_08004_q">#REF!</definedName>
    <definedName name="EN_08005">#REF!</definedName>
    <definedName name="EN_08005_f">#REF!</definedName>
    <definedName name="EN_08005_m">#REF!</definedName>
    <definedName name="EN_08005_p">#REF!</definedName>
    <definedName name="EN_08005_q">#REF!</definedName>
    <definedName name="EN_08006">#REF!</definedName>
    <definedName name="EN_08006_f">#REF!</definedName>
    <definedName name="EN_08006_m">#REF!</definedName>
    <definedName name="EN_08006_p">#REF!</definedName>
    <definedName name="EN_08006_q">#REF!</definedName>
    <definedName name="EN_08007">#REF!</definedName>
    <definedName name="EN_08007_m">#REF!</definedName>
    <definedName name="EN_08007_p">#REF!</definedName>
    <definedName name="EN_08007_q">#REF!</definedName>
    <definedName name="EN_08007_t">#REF!</definedName>
    <definedName name="EN_08008">#REF!</definedName>
    <definedName name="EN_08008_m">#REF!</definedName>
    <definedName name="EN_08008_p">#REF!</definedName>
    <definedName name="EN_08008_q">#REF!</definedName>
    <definedName name="EN_08009">#REF!</definedName>
    <definedName name="EN_08009_m">#REF!</definedName>
    <definedName name="EN_08009_p">#REF!</definedName>
    <definedName name="EN_08009_q">#REF!</definedName>
    <definedName name="EN_08010">#REF!</definedName>
    <definedName name="EN_08010_f">#REF!</definedName>
    <definedName name="EN_08010_m">#REF!</definedName>
    <definedName name="EN_08010_p">#REF!</definedName>
    <definedName name="EN_08010_q">#REF!</definedName>
    <definedName name="EN_0900_001">#REF!</definedName>
    <definedName name="EN_0900_001_f">#REF!</definedName>
    <definedName name="EN_0900_001_m">#REF!</definedName>
    <definedName name="EN_0900_001_p">#REF!</definedName>
    <definedName name="EN_0900_001_q">#REF!</definedName>
    <definedName name="EN_0900_002">#REF!</definedName>
    <definedName name="EN_0900_002_m">#REF!</definedName>
    <definedName name="EN_0900_002_p">#REF!</definedName>
    <definedName name="EN_0900_002_q">#REF!</definedName>
    <definedName name="EN_0900_003">#REF!</definedName>
    <definedName name="EN_0900_003_m">#REF!</definedName>
    <definedName name="EN_0900_003_p">#REF!</definedName>
    <definedName name="EN_0900_003_q">#REF!</definedName>
    <definedName name="EN_0900_004">#REF!</definedName>
    <definedName name="EN_0900_004_m">#REF!</definedName>
    <definedName name="EN_0900_004_p">#REF!</definedName>
    <definedName name="EN_0900_004_q">#REF!</definedName>
    <definedName name="EN_0900_005">#REF!</definedName>
    <definedName name="EN_0900_005_m">#REF!</definedName>
    <definedName name="EN_0900_005_p">#REF!</definedName>
    <definedName name="EN_0900_005_q">#REF!</definedName>
    <definedName name="EN_0900_006">#REF!</definedName>
    <definedName name="EN_0900_006_m">#REF!</definedName>
    <definedName name="EN_0900_006_p">#REF!</definedName>
    <definedName name="EN_0900_006_q">#REF!</definedName>
    <definedName name="EN_0900_007">#REF!</definedName>
    <definedName name="EN_0900_007_m">#REF!</definedName>
    <definedName name="EN_0900_007_p">#REF!</definedName>
    <definedName name="EN_0900_007_q">#REF!</definedName>
    <definedName name="EN_0900_008">#REF!</definedName>
    <definedName name="EN_0900_008_m">#REF!</definedName>
    <definedName name="EN_0900_008_p">#REF!</definedName>
    <definedName name="EN_0900_008_q">#REF!</definedName>
    <definedName name="EN_0900_009">#REF!</definedName>
    <definedName name="EN_0900_009_m">#REF!</definedName>
    <definedName name="EN_0900_009_p">#REF!</definedName>
    <definedName name="EN_0900_009_q">#REF!</definedName>
    <definedName name="EN_1000_001">#REF!</definedName>
    <definedName name="EN_1000_001_m">#REF!</definedName>
    <definedName name="EN_1000_001_p">#REF!</definedName>
    <definedName name="EN_1000_001_q">#REF!</definedName>
    <definedName name="EN_1000_002">#REF!</definedName>
    <definedName name="EN_1000_002_m">#REF!</definedName>
    <definedName name="EN_1000_002_p">#REF!</definedName>
    <definedName name="EN_1000_002_q">#REF!</definedName>
    <definedName name="EN_1000_003">#REF!</definedName>
    <definedName name="EN_1000_003_m">#REF!</definedName>
    <definedName name="EN_1000_003_p">#REF!</definedName>
    <definedName name="EN_1000_003_q">#REF!</definedName>
    <definedName name="EN_1000_004">#REF!</definedName>
    <definedName name="EN_1000_004_m">#REF!</definedName>
    <definedName name="EN_1000_004_p">#REF!</definedName>
    <definedName name="EN_1000_004_q">#REF!</definedName>
    <definedName name="EN_1100_001">#REF!</definedName>
    <definedName name="EN_1100_001_m">#REF!</definedName>
    <definedName name="EN_1100_001_p">#REF!</definedName>
    <definedName name="EN_1100_001_q">#REF!</definedName>
    <definedName name="EN_1100_002">#REF!</definedName>
    <definedName name="EN_1100_002_m">#REF!</definedName>
    <definedName name="EN_1100_002_p">#REF!</definedName>
    <definedName name="EN_1100_002_q">#REF!</definedName>
    <definedName name="EN_1100_003">#REF!</definedName>
    <definedName name="EN_1100_003_m">#REF!</definedName>
    <definedName name="EN_1100_003_p">#REF!</definedName>
    <definedName name="EN_1100_003_q">#REF!</definedName>
    <definedName name="EN_1100_004">#REF!</definedName>
    <definedName name="EN_1100_004_m">#REF!</definedName>
    <definedName name="EN_1100_004_p">#REF!</definedName>
    <definedName name="EN_1100_004_q">#REF!</definedName>
    <definedName name="EN_1100_005">#REF!</definedName>
    <definedName name="EN_1100_005_m">#REF!</definedName>
    <definedName name="EN_1100_005_p">#REF!</definedName>
    <definedName name="EN_1100_005_q">#REF!</definedName>
    <definedName name="EN_1100_006">#REF!</definedName>
    <definedName name="EN_1100_006_m">#REF!</definedName>
    <definedName name="EN_1100_006_p">#REF!</definedName>
    <definedName name="EN_1100_006_q">#REF!</definedName>
    <definedName name="EN_A0001">'[3]EN Assembly'!$B$5</definedName>
    <definedName name="EN_A0001_f">#REF!</definedName>
    <definedName name="EN_A0001_m">#REF!</definedName>
    <definedName name="EN_A0001_p">#REF!</definedName>
    <definedName name="EN_A0001_pa">#REF!</definedName>
    <definedName name="EN_A0001_q">#REF!</definedName>
    <definedName name="EN_A0001_t">#REF!</definedName>
    <definedName name="EN_A0100">#REF!</definedName>
    <definedName name="EN_A0100_BOM">BOM!#REF!</definedName>
    <definedName name="EN_A0100_f">#REF!</definedName>
    <definedName name="EN_A0100_m">#REF!</definedName>
    <definedName name="EN_A0100_p">#REF!</definedName>
    <definedName name="EN_A0100_pa">#REF!</definedName>
    <definedName name="EN_A0100_q">#REF!</definedName>
    <definedName name="EN_A0100_t">#REF!</definedName>
    <definedName name="EN_A0200">#REF!</definedName>
    <definedName name="EN_A0200_BOM">BOM!#REF!</definedName>
    <definedName name="EN_A0200_f">#REF!</definedName>
    <definedName name="EN_A0200_m">#REF!</definedName>
    <definedName name="EN_A0200_p">#REF!</definedName>
    <definedName name="EN_A0200_pa">#REF!</definedName>
    <definedName name="EN_A0200_q">#REF!</definedName>
    <definedName name="EN_A0200_t">#REF!</definedName>
    <definedName name="EN_A0300">#REF!</definedName>
    <definedName name="EN_A0300_BOM">BOM!#REF!</definedName>
    <definedName name="EN_A0300_f">#REF!</definedName>
    <definedName name="EN_A0300_m">#REF!</definedName>
    <definedName name="EN_A0300_p">#REF!</definedName>
    <definedName name="EN_A0300_pa">#REF!</definedName>
    <definedName name="EN_A0300_q">#REF!</definedName>
    <definedName name="EN_A0300_t">#REF!</definedName>
    <definedName name="EN_A0400">#REF!</definedName>
    <definedName name="EN_A0400_BOM">BOM!#REF!</definedName>
    <definedName name="EN_A0400_f">#REF!</definedName>
    <definedName name="EN_A0400_m">#REF!</definedName>
    <definedName name="EN_A0400_p">#REF!</definedName>
    <definedName name="EN_A0400_pa">#REF!</definedName>
    <definedName name="EN_A0400_q">#REF!</definedName>
    <definedName name="EN_A0400_t">#REF!</definedName>
    <definedName name="EN_A0500">#REF!</definedName>
    <definedName name="EN_A0500_BOM">BOM!#REF!</definedName>
    <definedName name="EN_A0500_f">#REF!</definedName>
    <definedName name="EN_A0500_m">#REF!</definedName>
    <definedName name="EN_A0500_p">#REF!</definedName>
    <definedName name="EN_A0500_pa">#REF!</definedName>
    <definedName name="EN_A0500_q">#REF!</definedName>
    <definedName name="EN_A0500_t">#REF!</definedName>
    <definedName name="EN_A0600">#REF!</definedName>
    <definedName name="EN_A0600_BOM">BOM!#REF!</definedName>
    <definedName name="EN_A0600_f">#REF!</definedName>
    <definedName name="EN_A0600_m">#REF!</definedName>
    <definedName name="EN_A0600_p">#REF!</definedName>
    <definedName name="EN_A0600_pa">#REF!</definedName>
    <definedName name="EN_A0600_q">#REF!</definedName>
    <definedName name="EN_A0600_t">#REF!</definedName>
    <definedName name="EN_A0700">#REF!</definedName>
    <definedName name="EN_A0700_BOM">BOM!#REF!</definedName>
    <definedName name="EN_A0700_f">#REF!</definedName>
    <definedName name="EN_A0700_m">#REF!</definedName>
    <definedName name="EN_A0700_p">#REF!</definedName>
    <definedName name="EN_A0700_q">#REF!</definedName>
    <definedName name="EN_A0800">#REF!</definedName>
    <definedName name="EN_A0800_BOM">BOM!#REF!</definedName>
    <definedName name="EN_A0800_f">#REF!</definedName>
    <definedName name="EN_A0800_m">#REF!</definedName>
    <definedName name="EN_A0800_p">#REF!</definedName>
    <definedName name="EN_A0800_pa">#REF!</definedName>
    <definedName name="EN_A0800_q">#REF!</definedName>
    <definedName name="EN_A0800_t">#REF!</definedName>
    <definedName name="EN_A0900">#REF!</definedName>
    <definedName name="EN_A0900_BOM">BOM!#REF!</definedName>
    <definedName name="EN_A0900_f">#REF!</definedName>
    <definedName name="EN_A0900_m">#REF!</definedName>
    <definedName name="EN_A0900_p">#REF!</definedName>
    <definedName name="EN_A0900_pa">#REF!</definedName>
    <definedName name="EN_A0900_q">#REF!</definedName>
    <definedName name="EN_A0900_t">#REF!</definedName>
    <definedName name="EN_A0900p">#REF!</definedName>
    <definedName name="EN_A090f">#REF!</definedName>
    <definedName name="EN_A1000">#REF!</definedName>
    <definedName name="EN_A1000_BOM">BOM!#REF!</definedName>
    <definedName name="EN_A1000_f">#REF!</definedName>
    <definedName name="EN_A1000_m">#REF!</definedName>
    <definedName name="EN_A1000_p">#REF!</definedName>
    <definedName name="EN_A1000_pa">#REF!</definedName>
    <definedName name="EN_A1000_q">#REF!</definedName>
    <definedName name="EN_A1100">#REF!</definedName>
    <definedName name="EN_A1100_BOM">BOM!#REF!</definedName>
    <definedName name="EN_A1100_f">#REF!</definedName>
    <definedName name="EN_A1100_m">#REF!</definedName>
    <definedName name="EN_A1100_p">#REF!</definedName>
    <definedName name="EN_A1100_pa">#REF!</definedName>
    <definedName name="EN_A1100_q">#REF!</definedName>
    <definedName name="EN_A1100_t">#REF!</definedName>
    <definedName name="FR_01001">#REF!</definedName>
    <definedName name="FR_01001_m">#REF!</definedName>
    <definedName name="FR_01001_p">#REF!</definedName>
    <definedName name="FR_01001_q">#REF!</definedName>
    <definedName name="FR_01002">#REF!</definedName>
    <definedName name="FR_01002_f">#REF!</definedName>
    <definedName name="FR_01002_m">#REF!</definedName>
    <definedName name="FR_01002_p">#REF!</definedName>
    <definedName name="FR_01002_q">#REF!</definedName>
    <definedName name="FR_01002_t">#REF!</definedName>
    <definedName name="FR_01003">#REF!</definedName>
    <definedName name="FR_01003_f">#REF!</definedName>
    <definedName name="FR_01003_m">#REF!</definedName>
    <definedName name="FR_01003_P">#REF!</definedName>
    <definedName name="FR_01003_q">#REF!</definedName>
    <definedName name="FR_01003_t">#REF!</definedName>
    <definedName name="FR_01004">#REF!</definedName>
    <definedName name="FR_01004_f">#REF!</definedName>
    <definedName name="FR_01004_m">#REF!</definedName>
    <definedName name="FR_01004_p">#REF!</definedName>
    <definedName name="FR_01004_q">#REF!</definedName>
    <definedName name="FR_01004_t">#REF!</definedName>
    <definedName name="FR_02001">#REF!</definedName>
    <definedName name="FR_02001_m">#REF!</definedName>
    <definedName name="FR_02001_p">#REF!</definedName>
    <definedName name="FR_02001_q">#REF!</definedName>
    <definedName name="FR_03001">#REF!</definedName>
    <definedName name="FR_03001_m">#REF!</definedName>
    <definedName name="FR_03001_p">#REF!</definedName>
    <definedName name="FR_03001_q">#REF!</definedName>
    <definedName name="FR_03002">#REF!</definedName>
    <definedName name="FR_03002_m">#REF!</definedName>
    <definedName name="FR_03002_p">#REF!</definedName>
    <definedName name="FR_03002_q">#REF!</definedName>
    <definedName name="FR_03003">#REF!</definedName>
    <definedName name="FR_03003_m">#REF!</definedName>
    <definedName name="FR_03003_p">#REF!</definedName>
    <definedName name="FR_03003_q">#REF!</definedName>
    <definedName name="FR_03004">#REF!</definedName>
    <definedName name="FR_03004_m">#REF!</definedName>
    <definedName name="FR_03004_p">#REF!</definedName>
    <definedName name="FR_03004_q">#REF!</definedName>
    <definedName name="FR_03005">#REF!</definedName>
    <definedName name="FR_03005_m">#REF!</definedName>
    <definedName name="FR_03005_p">#REF!</definedName>
    <definedName name="FR_03005_q">#REF!</definedName>
    <definedName name="FR_03006">#REF!</definedName>
    <definedName name="FR_03006_m">#REF!</definedName>
    <definedName name="FR_03006_p">#REF!</definedName>
    <definedName name="FR_03006_q">#REF!</definedName>
    <definedName name="FR_03007">#REF!</definedName>
    <definedName name="FR_03007_m">#REF!</definedName>
    <definedName name="FR_03007_p">#REF!</definedName>
    <definedName name="FR_03007_q">#REF!</definedName>
    <definedName name="FR_03008">#REF!</definedName>
    <definedName name="FR_03008_m">#REF!</definedName>
    <definedName name="FR_03008_p">#REF!</definedName>
    <definedName name="FR_03008_q">#REF!</definedName>
    <definedName name="FR_03009">#REF!</definedName>
    <definedName name="FR_03009_m">#REF!</definedName>
    <definedName name="FR_03009_p">#REF!</definedName>
    <definedName name="FR_03009_q">#REF!</definedName>
    <definedName name="FR_03010">#REF!</definedName>
    <definedName name="FR_03010_m">#REF!</definedName>
    <definedName name="FR_03010_p">#REF!</definedName>
    <definedName name="FR_03010_q">#REF!</definedName>
    <definedName name="FR_03011">#REF!</definedName>
    <definedName name="FR_03011_m">#REF!</definedName>
    <definedName name="FR_03011_p">#REF!</definedName>
    <definedName name="FR_03011_q">#REF!</definedName>
    <definedName name="FR_03012">#REF!</definedName>
    <definedName name="FR_03012_m">#REF!</definedName>
    <definedName name="FR_03012_p">#REF!</definedName>
    <definedName name="FR_03012_q">#REF!</definedName>
    <definedName name="FR_03013">#REF!</definedName>
    <definedName name="FR_03013_m">#REF!</definedName>
    <definedName name="FR_03013_p">#REF!</definedName>
    <definedName name="FR_03013_q">#REF!</definedName>
    <definedName name="FR_03014">#REF!</definedName>
    <definedName name="FR_03014_m">#REF!</definedName>
    <definedName name="FR_03014_p">#REF!</definedName>
    <definedName name="FR_03014_q">#REF!</definedName>
    <definedName name="FR_04001">#REF!</definedName>
    <definedName name="FR_04001_m">#REF!</definedName>
    <definedName name="FR_04001_p">#REF!</definedName>
    <definedName name="FR_04001_q">#REF!</definedName>
    <definedName name="FR_04002">#REF!</definedName>
    <definedName name="FR_04002_m">#REF!</definedName>
    <definedName name="FR_04002_p">#REF!</definedName>
    <definedName name="FR_04002_q">#REF!</definedName>
    <definedName name="FR_04003">#REF!</definedName>
    <definedName name="FR_04003_m">#REF!</definedName>
    <definedName name="FR_04003_p">#REF!</definedName>
    <definedName name="FR_04003_q">#REF!</definedName>
    <definedName name="FR_05001">#REF!</definedName>
    <definedName name="FR_05001_m">#REF!</definedName>
    <definedName name="FR_05001_p">#REF!</definedName>
    <definedName name="FR_05001_q">#REF!</definedName>
    <definedName name="FR_05002">#REF!</definedName>
    <definedName name="FR_05002_m">#REF!</definedName>
    <definedName name="FR_05002_p">#REF!</definedName>
    <definedName name="FR_05002_q">#REF!</definedName>
    <definedName name="FR_05002_t">#REF!</definedName>
    <definedName name="FR_05003">#REF!</definedName>
    <definedName name="FR_05003_m">#REF!</definedName>
    <definedName name="FR_05003_p">#REF!</definedName>
    <definedName name="FR_05003_q">#REF!</definedName>
    <definedName name="FR_05004">#REF!</definedName>
    <definedName name="FR_05004_m">#REF!</definedName>
    <definedName name="FR_05004_p">#REF!</definedName>
    <definedName name="FR_05004_q">#REF!</definedName>
    <definedName name="FR_05004_t">#REF!</definedName>
    <definedName name="FR_05005">#REF!</definedName>
    <definedName name="FR_05005_m">#REF!</definedName>
    <definedName name="FR_05005_p">#REF!</definedName>
    <definedName name="FR_05005_q">#REF!</definedName>
    <definedName name="FR_05005_t">#REF!</definedName>
    <definedName name="FR_06001">#REF!</definedName>
    <definedName name="FR_06001_m">#REF!</definedName>
    <definedName name="FR_06001_p">#REF!</definedName>
    <definedName name="FR_06001_q">#REF!</definedName>
    <definedName name="FR_06002">#REF!</definedName>
    <definedName name="FR_06002_m">#REF!</definedName>
    <definedName name="FR_06002_p">#REF!</definedName>
    <definedName name="FR_06002_q">#REF!</definedName>
    <definedName name="FR_06003">#REF!</definedName>
    <definedName name="FR_06003_m">#REF!</definedName>
    <definedName name="FR_06003_p">#REF!</definedName>
    <definedName name="FR_06003_q">#REF!</definedName>
    <definedName name="FR_06004">#REF!</definedName>
    <definedName name="FR_06004_m">#REF!</definedName>
    <definedName name="FR_06004_p">#REF!</definedName>
    <definedName name="FR_06004_q">#REF!</definedName>
    <definedName name="FR_06005">#REF!</definedName>
    <definedName name="FR_06005_m">#REF!</definedName>
    <definedName name="FR_06005_p">#REF!</definedName>
    <definedName name="FR_06005_q">#REF!</definedName>
    <definedName name="FR_06006">#REF!</definedName>
    <definedName name="FR_06006_f">#REF!</definedName>
    <definedName name="FR_06006_m">#REF!</definedName>
    <definedName name="FR_06006_p">#REF!</definedName>
    <definedName name="FR_06006_q">#REF!</definedName>
    <definedName name="FR_07001">#REF!</definedName>
    <definedName name="FR_07001_m">#REF!</definedName>
    <definedName name="FR_07001_p">#REF!</definedName>
    <definedName name="FR_07001_q">#REF!</definedName>
    <definedName name="FR_07001_t">#REF!</definedName>
    <definedName name="FR_07002">#REF!</definedName>
    <definedName name="FR_07002_m">#REF!</definedName>
    <definedName name="FR_07002_p">#REF!</definedName>
    <definedName name="FR_07002_q">#REF!</definedName>
    <definedName name="FR_07002_t">#REF!</definedName>
    <definedName name="FR_07003">#REF!</definedName>
    <definedName name="FR_07003_m">#REF!</definedName>
    <definedName name="FR_07003_p">#REF!</definedName>
    <definedName name="FR_07003_q">#REF!</definedName>
    <definedName name="FR_07003_t">#REF!</definedName>
    <definedName name="FR_07004">#REF!</definedName>
    <definedName name="FR_07004_m">#REF!</definedName>
    <definedName name="FR_07004_p">#REF!</definedName>
    <definedName name="FR_07004_q">#REF!</definedName>
    <definedName name="FR_07004_t">#REF!</definedName>
    <definedName name="FR_07005">#REF!</definedName>
    <definedName name="FR_07005_m">#REF!</definedName>
    <definedName name="FR_07005_p">#REF!</definedName>
    <definedName name="FR_07005_q">#REF!</definedName>
    <definedName name="FR_07005_t">#REF!</definedName>
    <definedName name="FR_07006">#REF!</definedName>
    <definedName name="FR_07006_m">#REF!</definedName>
    <definedName name="FR_07006_p">#REF!</definedName>
    <definedName name="FR_07006_q">#REF!</definedName>
    <definedName name="FR_07007">#REF!</definedName>
    <definedName name="FR_07007_m">#REF!</definedName>
    <definedName name="FR_07007_p">#REF!</definedName>
    <definedName name="FR_07007_q">#REF!</definedName>
    <definedName name="FR_07008">#REF!</definedName>
    <definedName name="FR_07008_m">#REF!</definedName>
    <definedName name="FR_07008_p">#REF!</definedName>
    <definedName name="FR_07008_q">#REF!</definedName>
    <definedName name="FR_08001">#REF!</definedName>
    <definedName name="FR_08001_m">#REF!</definedName>
    <definedName name="FR_08001_p">#REF!</definedName>
    <definedName name="FR_08001_q">#REF!</definedName>
    <definedName name="FR_08002">#REF!</definedName>
    <definedName name="FR_08002_m">#REF!</definedName>
    <definedName name="FR_08002_p">#REF!</definedName>
    <definedName name="FR_08002_q">#REF!</definedName>
    <definedName name="FR_08003">#REF!</definedName>
    <definedName name="FR_08003_m">#REF!</definedName>
    <definedName name="FR_08003_p">#REF!</definedName>
    <definedName name="FR_08003_q">#REF!</definedName>
    <definedName name="FR_A0001">#REF!</definedName>
    <definedName name="FR_A0001_BOM">BOM!#REF!</definedName>
    <definedName name="FR_A0001_f">#REF!</definedName>
    <definedName name="FR_A0001_m">#REF!</definedName>
    <definedName name="FR_A0001_p">#REF!</definedName>
    <definedName name="FR_A0001_pa">#REF!</definedName>
    <definedName name="FR_A0001_q">#REF!</definedName>
    <definedName name="FR_A0001_t">#REF!</definedName>
    <definedName name="FR_A0200">#REF!</definedName>
    <definedName name="FR_A0200_BOM">BOM!#REF!</definedName>
    <definedName name="FR_A0200_f">#REF!</definedName>
    <definedName name="FR_A0200_p">#REF!</definedName>
    <definedName name="FR_A0200_pa">#REF!</definedName>
    <definedName name="FR_A0200_q">#REF!</definedName>
    <definedName name="FR_A0300">#REF!</definedName>
    <definedName name="FR_A0300_BOM">BOM!#REF!</definedName>
    <definedName name="FR_A0300_f">#REF!</definedName>
    <definedName name="FR_A0300_m">#REF!</definedName>
    <definedName name="FR_A0300_p">#REF!</definedName>
    <definedName name="FR_A0300_pa">#REF!</definedName>
    <definedName name="FR_A0300_q">#REF!</definedName>
    <definedName name="FR_A0300_t">#REF!</definedName>
    <definedName name="FR_A0400">#REF!</definedName>
    <definedName name="FR_A0400_BOM">BOM!#REF!</definedName>
    <definedName name="FR_A0400_f">#REF!</definedName>
    <definedName name="FR_A0400_m">#REF!</definedName>
    <definedName name="FR_A0400_p">#REF!</definedName>
    <definedName name="FR_A0400_pa">#REF!</definedName>
    <definedName name="FR_A0400_q">#REF!</definedName>
    <definedName name="FR_A0400_t">#REF!</definedName>
    <definedName name="FR_A0500">#REF!</definedName>
    <definedName name="FR_A0500_BOM">BOM!#REF!</definedName>
    <definedName name="FR_A0500_f">#REF!</definedName>
    <definedName name="FR_A0500_m">#REF!</definedName>
    <definedName name="FR_A0500_p">#REF!</definedName>
    <definedName name="FR_A0500_pa">#REF!</definedName>
    <definedName name="FR_A0500_q">#REF!</definedName>
    <definedName name="FR_A0500_t">#REF!</definedName>
    <definedName name="FR_A05005">#REF!</definedName>
    <definedName name="FR_A0600">#REF!</definedName>
    <definedName name="FR_A0600_BOM">BOM!#REF!</definedName>
    <definedName name="FR_A0600_f">#REF!</definedName>
    <definedName name="FR_A0600_m">#REF!</definedName>
    <definedName name="FR_A0600_p">#REF!</definedName>
    <definedName name="FR_A0600_pa">#REF!</definedName>
    <definedName name="FR_A0600_q">#REF!</definedName>
    <definedName name="FR_A0600_t">#REF!</definedName>
    <definedName name="FR_A0700">#REF!</definedName>
    <definedName name="FR_A0700_BOM">BOM!#REF!</definedName>
    <definedName name="FR_A0700_f">#REF!</definedName>
    <definedName name="FR_A0700_m">#REF!</definedName>
    <definedName name="FR_A0700_p">#REF!</definedName>
    <definedName name="FR_A0700_pa">#REF!</definedName>
    <definedName name="FR_A0700_q">#REF!</definedName>
    <definedName name="FR_A0700_t">#REF!</definedName>
    <definedName name="FR_A0800">#REF!</definedName>
    <definedName name="FR_A0800_f">#REF!</definedName>
    <definedName name="FR_A0800_m">#REF!</definedName>
    <definedName name="FR_A0800_p">#REF!</definedName>
    <definedName name="FR_A0800_pa">#REF!</definedName>
    <definedName name="FR_A0800_q">#REF!</definedName>
    <definedName name="MS_0100_001">#REF!</definedName>
    <definedName name="MS_0100_001_BOM">BOM!#REF!</definedName>
    <definedName name="MS_0100_001_m">#REF!</definedName>
    <definedName name="MS_0100_001_p">#REF!</definedName>
    <definedName name="MS_0100_001_q">#REF!</definedName>
    <definedName name="MS_0100_002">#REF!</definedName>
    <definedName name="MS_0100_002_BOM">BOM!#REF!</definedName>
    <definedName name="MS_0100_002_m">#REF!</definedName>
    <definedName name="MS_0100_002_p">#REF!</definedName>
    <definedName name="MS_0100_002_q">#REF!</definedName>
    <definedName name="MS_0100_003">#REF!</definedName>
    <definedName name="MS_0100_003_BOM">BOM!#REF!</definedName>
    <definedName name="MS_0100_003_m">#REF!</definedName>
    <definedName name="MS_0100_003_p">#REF!</definedName>
    <definedName name="MS_0100_003_q">#REF!</definedName>
    <definedName name="MS_0100_004">#REF!</definedName>
    <definedName name="MS_0100_004_BOM">BOM!#REF!</definedName>
    <definedName name="MS_0100_004_m">#REF!</definedName>
    <definedName name="MS_0100_004_p">#REF!</definedName>
    <definedName name="MS_0100_004_q">#REF!</definedName>
    <definedName name="MS_0100_005">#REF!</definedName>
    <definedName name="MS_0100_005_BOM">BOM!#REF!</definedName>
    <definedName name="MS_0100_005_m">#REF!</definedName>
    <definedName name="MS_0100_005_p">#REF!</definedName>
    <definedName name="MS_0100_005_q">#REF!</definedName>
    <definedName name="MS_0100_006">#REF!</definedName>
    <definedName name="MS_0100_006_BOM">BOM!#REF!</definedName>
    <definedName name="MS_0100_006_m">#REF!</definedName>
    <definedName name="MS_0100_006_p">#REF!</definedName>
    <definedName name="MS_0100_006_q">#REF!</definedName>
    <definedName name="MS_0100_007">#REF!</definedName>
    <definedName name="MS_0100_007_BOM">BOM!#REF!</definedName>
    <definedName name="MS_0100_007_m">#REF!</definedName>
    <definedName name="MS_0100_007_p">#REF!</definedName>
    <definedName name="MS_0100_007_q">#REF!</definedName>
    <definedName name="MS_0100_008">#REF!</definedName>
    <definedName name="MS_0100_008_BOM">BOM!#REF!</definedName>
    <definedName name="MS_0100_008_m">#REF!</definedName>
    <definedName name="MS_0100_008_p">#REF!</definedName>
    <definedName name="MS_0100_008_q">#REF!</definedName>
    <definedName name="MS_02001">#REF!</definedName>
    <definedName name="MS_02001_a">#REF!</definedName>
    <definedName name="MS_02001_BOM">BOM!#REF!</definedName>
    <definedName name="MS_02001_m">#REF!</definedName>
    <definedName name="MS_02001_p">#REF!</definedName>
    <definedName name="MS_02001_q">#REF!</definedName>
    <definedName name="MS_04001">#REF!</definedName>
    <definedName name="MS_04001_BOM">BOM!#REF!</definedName>
    <definedName name="MS_04001_m">#REF!</definedName>
    <definedName name="MS_04001_p">#REF!</definedName>
    <definedName name="MS_04001_q">#REF!</definedName>
    <definedName name="MS_04001_t">#REF!</definedName>
    <definedName name="MS_04002">#REF!</definedName>
    <definedName name="MS_04002_BOM">BOM!#REF!</definedName>
    <definedName name="MS_04002_m">#REF!</definedName>
    <definedName name="MS_04002_p">#REF!</definedName>
    <definedName name="MS_04002_q">#REF!</definedName>
    <definedName name="MS_04003">#REF!</definedName>
    <definedName name="MS_04003_BOM">BOM!#REF!</definedName>
    <definedName name="MS_04003_m">#REF!</definedName>
    <definedName name="MS_04003_p">#REF!</definedName>
    <definedName name="MS_04003_q">#REF!</definedName>
    <definedName name="MS_05001">#REF!</definedName>
    <definedName name="MS_05001_BOM">BOM!#REF!</definedName>
    <definedName name="MS_05001_m">#REF!</definedName>
    <definedName name="MS_05001_p">#REF!</definedName>
    <definedName name="MS_05001_q">#REF!</definedName>
    <definedName name="MS_A0100">#REF!</definedName>
    <definedName name="MS_A0100_BOM">BOM!#REF!</definedName>
    <definedName name="MS_A0100_f">#REF!</definedName>
    <definedName name="MS_A0100_m">#REF!</definedName>
    <definedName name="MS_A0100_p">#REF!</definedName>
    <definedName name="MS_A0100_pa">#REF!</definedName>
    <definedName name="MS_A0100_q">#REF!</definedName>
    <definedName name="MS_A0100_t">#REF!</definedName>
    <definedName name="MS_A0200">#REF!</definedName>
    <definedName name="MS_A0200_BOM">BOM!#REF!</definedName>
    <definedName name="MS_A0200_f">#REF!</definedName>
    <definedName name="MS_A0200_p">#REF!</definedName>
    <definedName name="MS_A0200_pa">#REF!</definedName>
    <definedName name="MS_A0200_q">#REF!</definedName>
    <definedName name="MS_A0300">#REF!</definedName>
    <definedName name="MS_A0300_BOM">BOM!#REF!</definedName>
    <definedName name="MS_A0300_m">#REF!</definedName>
    <definedName name="MS_A0300_p">#REF!</definedName>
    <definedName name="MS_A0300_q">#REF!</definedName>
    <definedName name="MS_A0400">#REF!</definedName>
    <definedName name="MS_A0400_BOM">BOM!#REF!</definedName>
    <definedName name="MS_A0400_f">#REF!</definedName>
    <definedName name="MS_A0400_m">#REF!</definedName>
    <definedName name="MS_A0400_p">#REF!</definedName>
    <definedName name="MS_A0400_pa">#REF!</definedName>
    <definedName name="MS_A0400_q">#REF!</definedName>
    <definedName name="MS_A0400_t">#REF!</definedName>
    <definedName name="MS_A0500">#REF!</definedName>
    <definedName name="MS_A0500_BOM">BOM!#REF!</definedName>
    <definedName name="MS_A0500_f">#REF!</definedName>
    <definedName name="MS_A0500_m">#REF!</definedName>
    <definedName name="MS_A0500_p">#REF!</definedName>
    <definedName name="MS_A0500_pa">#REF!</definedName>
    <definedName name="MS_A0500_q">#REF!</definedName>
    <definedName name="MS_A0500_t">#REF!</definedName>
    <definedName name="Process_P1">#REF!</definedName>
    <definedName name="Processes">#REF!</definedName>
    <definedName name="ST_01001">#REF!</definedName>
    <definedName name="ST_01001_m">#REF!</definedName>
    <definedName name="ST_01001_p">#REF!</definedName>
    <definedName name="ST_01001_q">#REF!</definedName>
    <definedName name="ST_01002">#REF!</definedName>
    <definedName name="ST_01002_m">#REF!</definedName>
    <definedName name="ST_01002_p">#REF!</definedName>
    <definedName name="ST_01002_q">#REF!</definedName>
    <definedName name="ST_01003">#REF!</definedName>
    <definedName name="ST_01003_m">#REF!</definedName>
    <definedName name="ST_01003_p">#REF!</definedName>
    <definedName name="ST_01003_q">#REF!</definedName>
    <definedName name="ST_01004">#REF!</definedName>
    <definedName name="ST_01004_m">#REF!</definedName>
    <definedName name="ST_01004_p">#REF!</definedName>
    <definedName name="ST_01004_q">#REF!</definedName>
    <definedName name="ST_01005">#REF!</definedName>
    <definedName name="ST_01005_m">#REF!</definedName>
    <definedName name="ST_01005_p">#REF!</definedName>
    <definedName name="ST_01005_q">#REF!</definedName>
    <definedName name="ST_01006">#REF!</definedName>
    <definedName name="ST_01006_m">#REF!</definedName>
    <definedName name="ST_01006_p">#REF!</definedName>
    <definedName name="ST_01006_q">#REF!</definedName>
    <definedName name="ST_01007">#REF!</definedName>
    <definedName name="ST_01007_m">#REF!</definedName>
    <definedName name="ST_01007_p">#REF!</definedName>
    <definedName name="ST_01007_q">#REF!</definedName>
    <definedName name="ST_01008">#REF!</definedName>
    <definedName name="ST_01008_m">#REF!</definedName>
    <definedName name="ST_01008_p">#REF!</definedName>
    <definedName name="ST_01008_q">#REF!</definedName>
    <definedName name="ST_01009">#REF!</definedName>
    <definedName name="ST_01009_m">#REF!</definedName>
    <definedName name="ST_01009_p">#REF!</definedName>
    <definedName name="ST_01009_q">#REF!</definedName>
    <definedName name="ST_01010">#REF!</definedName>
    <definedName name="ST_01010_m">#REF!</definedName>
    <definedName name="ST_01010_p">#REF!</definedName>
    <definedName name="ST_01010_q">#REF!</definedName>
    <definedName name="ST_01011">#REF!</definedName>
    <definedName name="ST_01011_m">#REF!</definedName>
    <definedName name="ST_01011_p">#REF!</definedName>
    <definedName name="ST_01011_q">#REF!</definedName>
    <definedName name="ST_02001">#REF!</definedName>
    <definedName name="ST_02001_m">#REF!</definedName>
    <definedName name="ST_02001_p">#REF!</definedName>
    <definedName name="ST_02001_q">#REF!</definedName>
    <definedName name="ST_02002">#REF!</definedName>
    <definedName name="ST_02002_m">#REF!</definedName>
    <definedName name="ST_02002_p">#REF!</definedName>
    <definedName name="ST_02002_q">#REF!</definedName>
    <definedName name="ST_02003">#REF!</definedName>
    <definedName name="ST_02003_m">#REF!</definedName>
    <definedName name="ST_02003_p">#REF!</definedName>
    <definedName name="ST_02003_q">#REF!</definedName>
    <definedName name="ST_02004">#REF!</definedName>
    <definedName name="ST_02004_m">#REF!</definedName>
    <definedName name="ST_02004_p">#REF!</definedName>
    <definedName name="ST_02004_q">#REF!</definedName>
    <definedName name="ST_02005">#REF!</definedName>
    <definedName name="ST_02005_m">#REF!</definedName>
    <definedName name="ST_02005_p">#REF!</definedName>
    <definedName name="ST_02005_q">#REF!</definedName>
    <definedName name="ST_03001">#REF!</definedName>
    <definedName name="ST_03001_m">#REF!</definedName>
    <definedName name="ST_03001_p">#REF!</definedName>
    <definedName name="ST_03001_q">#REF!</definedName>
    <definedName name="ST_03002">#REF!</definedName>
    <definedName name="ST_03002_m">#REF!</definedName>
    <definedName name="ST_03002_p">#REF!</definedName>
    <definedName name="ST_03002_q">#REF!</definedName>
    <definedName name="ST_03003">#REF!</definedName>
    <definedName name="ST_03003_m">#REF!</definedName>
    <definedName name="ST_03003_p">#REF!</definedName>
    <definedName name="ST_03003_q">#REF!</definedName>
    <definedName name="ST_04001">#REF!</definedName>
    <definedName name="ST_04001_m">#REF!</definedName>
    <definedName name="ST_04001_p">#REF!</definedName>
    <definedName name="ST_04001_q">#REF!</definedName>
    <definedName name="ST_04002">#REF!</definedName>
    <definedName name="ST_04002_m">#REF!</definedName>
    <definedName name="ST_04002_p">#REF!</definedName>
    <definedName name="ST_04002_q">#REF!</definedName>
    <definedName name="ST_05001">#REF!</definedName>
    <definedName name="ST_05001_m">#REF!</definedName>
    <definedName name="ST_05001_p">#REF!</definedName>
    <definedName name="ST_05001_q">#REF!</definedName>
    <definedName name="ST_05002">#REF!</definedName>
    <definedName name="ST_05002_m">#REF!</definedName>
    <definedName name="ST_05002_p">#REF!</definedName>
    <definedName name="ST_05002_q">#REF!</definedName>
    <definedName name="ST_05003">#REF!</definedName>
    <definedName name="ST_05003_m">#REF!</definedName>
    <definedName name="ST_05003_p">#REF!</definedName>
    <definedName name="ST_05003_q">#REF!</definedName>
    <definedName name="ST_A0100">#REF!</definedName>
    <definedName name="ST_A0100_BOM">BOM!#REF!</definedName>
    <definedName name="ST_A0100_f">#REF!</definedName>
    <definedName name="ST_A0100_m">#REF!</definedName>
    <definedName name="ST_A0100_p">#REF!</definedName>
    <definedName name="ST_A0100_q">#REF!</definedName>
    <definedName name="ST_A0100_t">#REF!</definedName>
    <definedName name="ST_A0200">#REF!</definedName>
    <definedName name="ST_A0200_BOM">BOM!#REF!</definedName>
    <definedName name="ST_A0200_f">#REF!</definedName>
    <definedName name="ST_A0200_m">#REF!</definedName>
    <definedName name="ST_A0200_p">#REF!</definedName>
    <definedName name="ST_A0200_q">#REF!</definedName>
    <definedName name="ST_A0200_t">#REF!</definedName>
    <definedName name="ST_A0300">#REF!</definedName>
    <definedName name="ST_A0300_BOM">BOM!#REF!</definedName>
    <definedName name="ST_A0300_f">#REF!</definedName>
    <definedName name="ST_A0300_m">#REF!</definedName>
    <definedName name="ST_A0300_p">#REF!</definedName>
    <definedName name="ST_A0300_q">#REF!</definedName>
    <definedName name="ST_A0400">#REF!</definedName>
    <definedName name="ST_A0400_BOM">BOM!#REF!</definedName>
    <definedName name="ST_A0400_f">#REF!</definedName>
    <definedName name="ST_A0400_p">#REF!</definedName>
    <definedName name="ST_A0400_q">#REF!</definedName>
    <definedName name="ST_A0500">#REF!</definedName>
    <definedName name="ST_A0500_BOM">BOM!#REF!</definedName>
    <definedName name="ST_A0500_f">#REF!</definedName>
    <definedName name="ST_A0500_m">#REF!</definedName>
    <definedName name="ST_A0500_p">#REF!</definedName>
    <definedName name="ST_A0500_pa">#REF!</definedName>
    <definedName name="ST_A0500_q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01005'!$I$17</definedName>
    <definedName name="SU_01005_q">'SU 01005'!$N$3</definedName>
    <definedName name="SU_01006">'SU 01006'!$B$6</definedName>
    <definedName name="SU_01006_m">'SU 01006'!$N$12</definedName>
    <definedName name="SU_01006_p">'SU 01006'!$I$17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02005'!$I$17</definedName>
    <definedName name="SU_02005_q">'SU 02005'!$N$3</definedName>
    <definedName name="SU_02006">'SU 02006'!$B$6</definedName>
    <definedName name="SU_02006_m">'SU 02006'!$N$12</definedName>
    <definedName name="SU_02006_p">'SU 02006'!$I$17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03005'!$I$17</definedName>
    <definedName name="SU_03005_q">'SU 03005'!$N$3</definedName>
    <definedName name="SU_03006">'SU 03006'!$B$6</definedName>
    <definedName name="SU_03006_m">'SU 03006'!$N$12</definedName>
    <definedName name="SU_03006_p">'SU 03006'!$I$17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04005'!$I$17</definedName>
    <definedName name="SU_04005_q">'SU 04005'!$N$3</definedName>
    <definedName name="SU_04006">'SU 04006'!$B$6</definedName>
    <definedName name="SU_04006_m">'SU 04006'!$N$12</definedName>
    <definedName name="SU_04006_p">'SU 04006'!$I$17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09002'!$I$18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10001">'SU 10001'!$B$6</definedName>
    <definedName name="SU_10001_m">'SU 10001'!$N$12</definedName>
    <definedName name="SU_10001_p">'SU 10001'!$I$29</definedName>
    <definedName name="SU_10001_q">'SU 10001'!$N$3</definedName>
    <definedName name="SU_10002">'SU 10002'!$B$6</definedName>
    <definedName name="SU_10002_m">'SU 10002'!$N$12</definedName>
    <definedName name="SU_10002_p">'SU 10002'!$I$19</definedName>
    <definedName name="SU_10002_q">'SU 10002'!$N$3</definedName>
    <definedName name="SU_10003">'SU 10003'!$B$6</definedName>
    <definedName name="SU_10003_m">'SU 10003'!$N$12</definedName>
    <definedName name="SU_10003_p">'SU 10003'!$I$23</definedName>
    <definedName name="SU_10003_q">'SU 10003'!$N$3</definedName>
    <definedName name="SU_10004">'SU 10004'!$B$6</definedName>
    <definedName name="SU_10004_m">'SU 10004'!$N$12</definedName>
    <definedName name="SU_10004_p">'SU 10004'!$I$18</definedName>
    <definedName name="SU_10004_q">'SU 10004'!$N$3</definedName>
    <definedName name="SU_10005">'SU 10005'!$B$6</definedName>
    <definedName name="SU_10005_m">'SU 10005'!$N$12</definedName>
    <definedName name="SU_10005_p">'SU 10005'!$I$17</definedName>
    <definedName name="SU_10005_q">'SU 10005'!$N$3</definedName>
    <definedName name="SU_11001">'SU 11001'!$B$6</definedName>
    <definedName name="SU_11001_m">'SU 11001'!$N$12</definedName>
    <definedName name="SU_11001_p">'SU 11001'!$I$28</definedName>
    <definedName name="SU_11001_q">'SU 11001'!$N$3</definedName>
    <definedName name="SU_11002">'SU 11002'!$B$6</definedName>
    <definedName name="SU_11002_m">'SU 11002'!$N$12</definedName>
    <definedName name="SU_11002_p">'SU 11002'!$I$23</definedName>
    <definedName name="SU_11002_q">'SU 11002'!$N$3</definedName>
    <definedName name="SU_11003">'SU 11003'!$B$6</definedName>
    <definedName name="SU_11003_m">'SU 11003'!$N$12</definedName>
    <definedName name="SU_11003_p">'SU 11003'!$I$18</definedName>
    <definedName name="SU_11003_q">'SU 11003'!$N$3</definedName>
    <definedName name="SU_11004">'SU 11004'!$B$6</definedName>
    <definedName name="SU_11004_m">'SU 11004'!$N$12</definedName>
    <definedName name="SU_11004_p">'SU 11004'!$I$17</definedName>
    <definedName name="SU_11004_q">'SU 11004'!$N$3</definedName>
    <definedName name="SU_12001">'SU 12001'!$B$6</definedName>
    <definedName name="SU_12001_m">'SU 12001'!$N$12</definedName>
    <definedName name="SU_12001_p">'SU 12001'!$I$19</definedName>
    <definedName name="SU_12001_q">'SU 12001'!$N$3</definedName>
    <definedName name="SU_12002">'SU 12002'!$B$6</definedName>
    <definedName name="SU_12002_m">'SU 12002'!$N$12</definedName>
    <definedName name="SU_12002_p">'SU 12002'!$I$15</definedName>
    <definedName name="SU_12002_q">'SU 12002'!$N$3</definedName>
    <definedName name="SU_12003">'SU 12003'!$B$6</definedName>
    <definedName name="SU_12003_m">'SU 12003'!$N$12</definedName>
    <definedName name="SU_12003_p">'SU 12003'!$I$17</definedName>
    <definedName name="SU_12003_q">'SU 12003'!$N$3</definedName>
    <definedName name="SU_12004">'SU 12004'!$B$6</definedName>
    <definedName name="SU_12004_M">'SU 12004'!$N$12</definedName>
    <definedName name="SU_12004_P">'SU 12004'!$I$17</definedName>
    <definedName name="SU_12004_q">'SU 12004'!$N$3</definedName>
    <definedName name="SU_13001">'SU 13001'!$B$6</definedName>
    <definedName name="SU_13001_m">'SU 13001'!$N$12</definedName>
    <definedName name="SU_13001_p">'SU 13001'!$I$20</definedName>
    <definedName name="SU_13001_q">'SU 13001'!$N$3</definedName>
    <definedName name="SU_13002">'SU 13002'!$B$6</definedName>
    <definedName name="SU_13002_m">'SU 13002'!$N$12</definedName>
    <definedName name="SU_13002_p">'SU 13002'!$I$17</definedName>
    <definedName name="SU_13002_q">'SU 13002'!$N$3</definedName>
    <definedName name="SU_A0100">'SU A0100'!$B$5</definedName>
    <definedName name="SU_A0100_BOM">BOM!$C$7</definedName>
    <definedName name="SU_A0100_f">'SU A0100'!$J$58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A0100'!$I$62</definedName>
    <definedName name="SU_A0200">'SU A0200'!$B$5</definedName>
    <definedName name="SU_A0200_BOM">BOM!$C$19</definedName>
    <definedName name="SU_A0200_f">'SU A0200'!$J$58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A0200'!$I$62</definedName>
    <definedName name="SU_A0300">'SU A0300'!$B$5</definedName>
    <definedName name="SU_A0300_BOM">BOM!$C$31</definedName>
    <definedName name="SU_A0300_f">'SU A0300'!$J$58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A0300'!$I$62</definedName>
    <definedName name="SU_A0400">'SU A0400'!$B$5</definedName>
    <definedName name="SU_A0400_BOM">BOM!$C$43</definedName>
    <definedName name="SU_A0400_f">'SU A0400'!$J$58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A0400'!$I$62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BOM">BOM!$C$68</definedName>
    <definedName name="SU_A0900_f">'SU A0900'!$J$44</definedName>
    <definedName name="SU_A0900_m">'SU A0900'!$N$20</definedName>
    <definedName name="SU_A0900_p">'SU A0900'!$I$36</definedName>
    <definedName name="SU_A0900_pa">'SU A0900'!$E$14</definedName>
    <definedName name="SU_A0900_q">'SU A0900'!$N$3</definedName>
    <definedName name="SU_A0900_t">'SU A0900'!$I$48</definedName>
    <definedName name="SU_A1000">'SU A1000'!$B$5</definedName>
    <definedName name="SU_A1000_BOM">BOM!$C$73</definedName>
    <definedName name="SU_A1000_f">'SU A1000'!$J$39</definedName>
    <definedName name="SU_A1000_p">'SU A1000'!$I$30</definedName>
    <definedName name="SU_A1000_pa">'SU A1000'!$E$15</definedName>
    <definedName name="SU_A1000_q">'SU A1000'!$L$3</definedName>
    <definedName name="SU_A1100">'SU A1100 '!$B$5</definedName>
    <definedName name="SU_A1100_BOM">BOM!$C$79</definedName>
    <definedName name="SU_A1100_f">'SU A1100 '!$J$42</definedName>
    <definedName name="SU_A1100_p">'SU A1100 '!$I$30</definedName>
    <definedName name="SU_A1100_pa">'SU A1100 '!$E$14</definedName>
    <definedName name="SU_A1100_q">'SU A1100 '!$N$3</definedName>
    <definedName name="SU_A1200">'SU A1200'!$B$5</definedName>
    <definedName name="SU_A1200_BOM">BOM!$C$84</definedName>
    <definedName name="SU_A1200_f">'SU A1200'!$J$44</definedName>
    <definedName name="SU_A1200_m">'SU A1200'!$N$20</definedName>
    <definedName name="SU_A1200_p">'SU A1200'!$I$36</definedName>
    <definedName name="SU_A1200_pa">'SU A1200'!$E$14</definedName>
    <definedName name="SU_A1200_q">'SU A1200'!$N$3</definedName>
    <definedName name="SU_A1200_t">'SU A1200'!$I$48</definedName>
    <definedName name="SU_A1300">'SU A1300'!$B$5</definedName>
    <definedName name="SU_A1300_BOM">BOM!$C$89</definedName>
    <definedName name="SU_A1300_f">'SU A1300'!$J$41</definedName>
    <definedName name="SU_A1300_m">'SU A1300'!$N$17</definedName>
    <definedName name="SU_A1300_p">'SU A1300'!$I$33</definedName>
    <definedName name="SU_A1300_pa">'SU A1300'!$E$12</definedName>
    <definedName name="SU_A1300_q">'SU A1300'!$N$3</definedName>
    <definedName name="SU_A1300_t">'SU A1300'!#REF!</definedName>
    <definedName name="Uni">[4]BOM!#REF!</definedName>
    <definedName name="WT_02001">#REF!</definedName>
    <definedName name="WT_02001_m">#REF!</definedName>
    <definedName name="WT_02001_p">#REF!</definedName>
    <definedName name="WT_02001_q">#REF!</definedName>
    <definedName name="WT_02002">#REF!</definedName>
    <definedName name="WT_02002_m">#REF!</definedName>
    <definedName name="WT_02002_p">#REF!</definedName>
    <definedName name="WT_02002_q">#REF!</definedName>
    <definedName name="WT_02003">#REF!</definedName>
    <definedName name="WT_02003_m">#REF!</definedName>
    <definedName name="WT_02003_p">#REF!</definedName>
    <definedName name="WT_02003_q">#REF!</definedName>
    <definedName name="WT_02004">#REF!</definedName>
    <definedName name="WT_02004_m">#REF!</definedName>
    <definedName name="WT_02004_p">#REF!</definedName>
    <definedName name="WT_02004_q">#REF!</definedName>
    <definedName name="WT_02005">#REF!</definedName>
    <definedName name="WT_02005_m">#REF!</definedName>
    <definedName name="WT_02005_p">#REF!</definedName>
    <definedName name="WT_02005_q">#REF!</definedName>
    <definedName name="WT_03001">#REF!</definedName>
    <definedName name="WT_03001_m">#REF!</definedName>
    <definedName name="WT_03001_p">#REF!</definedName>
    <definedName name="WT_03001_q">#REF!</definedName>
    <definedName name="WT_03002">#REF!</definedName>
    <definedName name="WT_03002_m">#REF!</definedName>
    <definedName name="WT_03002_p">#REF!</definedName>
    <definedName name="WT_03002_q">#REF!</definedName>
    <definedName name="WT_03003">#REF!</definedName>
    <definedName name="WT_03003_m">#REF!</definedName>
    <definedName name="WT_03003_p">#REF!</definedName>
    <definedName name="WT_03003_q">#REF!</definedName>
    <definedName name="WT_03004">#REF!</definedName>
    <definedName name="WT_03004_m">#REF!</definedName>
    <definedName name="WT_03004_p">#REF!</definedName>
    <definedName name="WT_03004_q">#REF!</definedName>
    <definedName name="WT_03005">#REF!</definedName>
    <definedName name="WT_03005_m">#REF!</definedName>
    <definedName name="WT_03005_p">#REF!</definedName>
    <definedName name="WT_03005_q">#REF!</definedName>
    <definedName name="WT_A0100">#REF!</definedName>
    <definedName name="WT_A0100_BOM">BOM!#REF!</definedName>
    <definedName name="WT_A0100_f">#REF!</definedName>
    <definedName name="WT_A0100_m">#REF!</definedName>
    <definedName name="WT_A0100_p">#REF!</definedName>
    <definedName name="WT_A0100_q">#REF!</definedName>
    <definedName name="WT_A0200">#REF!</definedName>
    <definedName name="WT_A0200_BOM">BOM!#REF!</definedName>
    <definedName name="WT_A0200_f">#REF!</definedName>
    <definedName name="WT_A0200_m">#REF!</definedName>
    <definedName name="WT_A0200_p">#REF!</definedName>
    <definedName name="WT_A0200_pa">#REF!</definedName>
    <definedName name="WT_A0200_q">#REF!</definedName>
    <definedName name="WT_A0300">#REF!</definedName>
    <definedName name="WT_A0300_BOM">BOM!#REF!</definedName>
    <definedName name="WT_A0300_f">#REF!</definedName>
    <definedName name="WT_A0300_m">#REF!</definedName>
    <definedName name="WT_A0300_p">#REF!</definedName>
    <definedName name="WT_A0300_q">#REF!</definedName>
    <definedName name="_xlnm.Print_Area" localSheetId="4">'SU 01002'!$A$1:$O$37</definedName>
  </definedNames>
  <calcPr calcId="1456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00" i="5" l="1"/>
  <c r="D43" i="490"/>
  <c r="J43" i="490" s="1"/>
  <c r="J42" i="490"/>
  <c r="D42" i="490"/>
  <c r="J41" i="490"/>
  <c r="A41" i="490"/>
  <c r="A42" i="490" s="1"/>
  <c r="A43" i="490" s="1"/>
  <c r="D40" i="490"/>
  <c r="J40" i="490" s="1"/>
  <c r="A40" i="490"/>
  <c r="J39" i="490"/>
  <c r="D39" i="490"/>
  <c r="D43" i="462"/>
  <c r="J43" i="462" s="1"/>
  <c r="J42" i="462"/>
  <c r="D42" i="462"/>
  <c r="J41" i="462"/>
  <c r="A41" i="462"/>
  <c r="A42" i="462" s="1"/>
  <c r="A43" i="462" s="1"/>
  <c r="D40" i="462"/>
  <c r="J40" i="462" s="1"/>
  <c r="A40" i="462"/>
  <c r="J39" i="462"/>
  <c r="D39" i="462"/>
  <c r="I27" i="462" l="1"/>
  <c r="I30" i="490"/>
  <c r="B10" i="490"/>
  <c r="B11" i="490"/>
  <c r="B13" i="490"/>
  <c r="B12" i="490"/>
  <c r="H17" i="491"/>
  <c r="H15" i="491"/>
  <c r="H14" i="464"/>
  <c r="I14" i="464"/>
  <c r="I15" i="464"/>
  <c r="H16" i="464"/>
  <c r="I16" i="464" s="1"/>
  <c r="I17" i="464"/>
  <c r="B4" i="492"/>
  <c r="I15" i="463"/>
  <c r="I47" i="462"/>
  <c r="I48" i="462" s="1"/>
  <c r="I35" i="462"/>
  <c r="I34" i="462"/>
  <c r="I33" i="462"/>
  <c r="I32" i="462"/>
  <c r="I31" i="462"/>
  <c r="I30" i="462"/>
  <c r="I29" i="462"/>
  <c r="I28" i="462"/>
  <c r="I26" i="462"/>
  <c r="I25" i="462"/>
  <c r="I24" i="462"/>
  <c r="I23" i="462"/>
  <c r="N19" i="462"/>
  <c r="N18" i="462"/>
  <c r="N17" i="462"/>
  <c r="F97" i="5"/>
  <c r="I14" i="492"/>
  <c r="D13" i="490"/>
  <c r="D12" i="490"/>
  <c r="I18" i="491"/>
  <c r="I17" i="491"/>
  <c r="I16" i="491"/>
  <c r="I15" i="491"/>
  <c r="I47" i="490"/>
  <c r="I48" i="490" s="1"/>
  <c r="M84" i="5" s="1"/>
  <c r="I35" i="490"/>
  <c r="I34" i="490"/>
  <c r="I33" i="490"/>
  <c r="I32" i="490"/>
  <c r="I31" i="490"/>
  <c r="I29" i="490"/>
  <c r="I28" i="490"/>
  <c r="I27" i="490"/>
  <c r="I26" i="490"/>
  <c r="I25" i="490"/>
  <c r="I24" i="490"/>
  <c r="I23" i="490"/>
  <c r="N19" i="490"/>
  <c r="N18" i="490"/>
  <c r="N20" i="490" s="1"/>
  <c r="N17" i="490"/>
  <c r="N20" i="462" l="1"/>
  <c r="I19" i="491"/>
  <c r="C7" i="5" l="1"/>
  <c r="F7" i="5"/>
  <c r="E8" i="5" s="1"/>
  <c r="I7" i="5"/>
  <c r="C8" i="5"/>
  <c r="F8" i="5"/>
  <c r="I8" i="5"/>
  <c r="C9" i="5"/>
  <c r="F9" i="5"/>
  <c r="I9" i="5"/>
  <c r="C10" i="5"/>
  <c r="F10" i="5"/>
  <c r="I10" i="5"/>
  <c r="C11" i="5"/>
  <c r="F11" i="5"/>
  <c r="I11" i="5"/>
  <c r="C12" i="5"/>
  <c r="F12" i="5"/>
  <c r="I12" i="5"/>
  <c r="C13" i="5"/>
  <c r="F13" i="5"/>
  <c r="I13" i="5"/>
  <c r="C14" i="5"/>
  <c r="F14" i="5"/>
  <c r="I14" i="5"/>
  <c r="C15" i="5"/>
  <c r="F15" i="5"/>
  <c r="I15" i="5"/>
  <c r="C16" i="5"/>
  <c r="F16" i="5"/>
  <c r="I16" i="5"/>
  <c r="C17" i="5"/>
  <c r="F17" i="5"/>
  <c r="I17" i="5"/>
  <c r="C18" i="5"/>
  <c r="F18" i="5"/>
  <c r="I18" i="5"/>
  <c r="C19" i="5"/>
  <c r="F19" i="5"/>
  <c r="E21" i="5" s="1"/>
  <c r="I19" i="5"/>
  <c r="C20" i="5"/>
  <c r="F20" i="5"/>
  <c r="I20" i="5"/>
  <c r="C21" i="5"/>
  <c r="F21" i="5"/>
  <c r="I21" i="5"/>
  <c r="C22" i="5"/>
  <c r="F22" i="5"/>
  <c r="I22" i="5"/>
  <c r="C23" i="5"/>
  <c r="F23" i="5"/>
  <c r="I23" i="5"/>
  <c r="C24" i="5"/>
  <c r="F24" i="5"/>
  <c r="I24" i="5"/>
  <c r="C25" i="5"/>
  <c r="F25" i="5"/>
  <c r="I25" i="5"/>
  <c r="C26" i="5"/>
  <c r="F26" i="5"/>
  <c r="I26" i="5"/>
  <c r="C27" i="5"/>
  <c r="F27" i="5"/>
  <c r="I27" i="5"/>
  <c r="C28" i="5"/>
  <c r="F28" i="5"/>
  <c r="I28" i="5"/>
  <c r="C29" i="5"/>
  <c r="F29" i="5"/>
  <c r="I29" i="5"/>
  <c r="C30" i="5"/>
  <c r="F30" i="5"/>
  <c r="I30" i="5"/>
  <c r="C31" i="5"/>
  <c r="F31" i="5"/>
  <c r="E32" i="5" s="1"/>
  <c r="I31" i="5"/>
  <c r="C32" i="5"/>
  <c r="F32" i="5"/>
  <c r="I32" i="5"/>
  <c r="C33" i="5"/>
  <c r="F33" i="5"/>
  <c r="I33" i="5"/>
  <c r="C34" i="5"/>
  <c r="F34" i="5"/>
  <c r="I34" i="5"/>
  <c r="C35" i="5"/>
  <c r="F35" i="5"/>
  <c r="I35" i="5"/>
  <c r="C36" i="5"/>
  <c r="F36" i="5"/>
  <c r="I36" i="5"/>
  <c r="C37" i="5"/>
  <c r="F37" i="5"/>
  <c r="I37" i="5"/>
  <c r="C38" i="5"/>
  <c r="F38" i="5"/>
  <c r="I38" i="5"/>
  <c r="C39" i="5"/>
  <c r="F39" i="5"/>
  <c r="I39" i="5"/>
  <c r="C40" i="5"/>
  <c r="F40" i="5"/>
  <c r="I40" i="5"/>
  <c r="C41" i="5"/>
  <c r="F41" i="5"/>
  <c r="I41" i="5"/>
  <c r="C42" i="5"/>
  <c r="F42" i="5"/>
  <c r="I42" i="5"/>
  <c r="C43" i="5"/>
  <c r="F43" i="5"/>
  <c r="E44" i="5" s="1"/>
  <c r="I43" i="5"/>
  <c r="C44" i="5"/>
  <c r="F44" i="5"/>
  <c r="I44" i="5"/>
  <c r="C45" i="5"/>
  <c r="F45" i="5"/>
  <c r="I45" i="5"/>
  <c r="C46" i="5"/>
  <c r="F46" i="5"/>
  <c r="I46" i="5"/>
  <c r="C47" i="5"/>
  <c r="F47" i="5"/>
  <c r="I47" i="5"/>
  <c r="C48" i="5"/>
  <c r="F48" i="5"/>
  <c r="I48" i="5"/>
  <c r="C49" i="5"/>
  <c r="F49" i="5"/>
  <c r="I49" i="5"/>
  <c r="C50" i="5"/>
  <c r="F50" i="5"/>
  <c r="I50" i="5"/>
  <c r="C51" i="5"/>
  <c r="F51" i="5"/>
  <c r="I51" i="5"/>
  <c r="C52" i="5"/>
  <c r="F52" i="5"/>
  <c r="I52" i="5"/>
  <c r="C53" i="5"/>
  <c r="F53" i="5"/>
  <c r="I53" i="5"/>
  <c r="C54" i="5"/>
  <c r="F54" i="5"/>
  <c r="I54" i="5"/>
  <c r="F55" i="5"/>
  <c r="E56" i="5" s="1"/>
  <c r="I55" i="5"/>
  <c r="C56" i="5"/>
  <c r="F56" i="5"/>
  <c r="I56" i="5"/>
  <c r="C57" i="5"/>
  <c r="F57" i="5"/>
  <c r="I57" i="5"/>
  <c r="C58" i="5"/>
  <c r="I58" i="5"/>
  <c r="B59" i="5"/>
  <c r="C59" i="5"/>
  <c r="I59" i="5"/>
  <c r="B60" i="5"/>
  <c r="C60" i="5"/>
  <c r="I60" i="5"/>
  <c r="B61" i="5"/>
  <c r="C61" i="5"/>
  <c r="I61" i="5"/>
  <c r="B62" i="5"/>
  <c r="C62" i="5"/>
  <c r="F62" i="5"/>
  <c r="E63" i="5" s="1"/>
  <c r="I62" i="5"/>
  <c r="B63" i="5"/>
  <c r="C63" i="5"/>
  <c r="F63" i="5"/>
  <c r="I63" i="5"/>
  <c r="B64" i="5"/>
  <c r="C64" i="5"/>
  <c r="I64" i="5"/>
  <c r="B65" i="5"/>
  <c r="C65" i="5"/>
  <c r="E65" i="5"/>
  <c r="I65" i="5"/>
  <c r="B66" i="5"/>
  <c r="C66" i="5"/>
  <c r="E66" i="5"/>
  <c r="I66" i="5"/>
  <c r="B67" i="5"/>
  <c r="C67" i="5"/>
  <c r="E67" i="5"/>
  <c r="I67" i="5"/>
  <c r="B68" i="5"/>
  <c r="C68" i="5"/>
  <c r="F68" i="5"/>
  <c r="E71" i="5" s="1"/>
  <c r="I68" i="5"/>
  <c r="B69" i="5"/>
  <c r="C69" i="5"/>
  <c r="F69" i="5"/>
  <c r="I69" i="5"/>
  <c r="B70" i="5"/>
  <c r="C70" i="5"/>
  <c r="F70" i="5"/>
  <c r="I70" i="5"/>
  <c r="B71" i="5"/>
  <c r="C71" i="5"/>
  <c r="F71" i="5"/>
  <c r="I71" i="5"/>
  <c r="B72" i="5"/>
  <c r="C72" i="5"/>
  <c r="F72" i="5"/>
  <c r="I72" i="5"/>
  <c r="B73" i="5"/>
  <c r="C73" i="5"/>
  <c r="F73" i="5"/>
  <c r="E75" i="5" s="1"/>
  <c r="I73" i="5"/>
  <c r="B74" i="5"/>
  <c r="C74" i="5"/>
  <c r="F74" i="5"/>
  <c r="I74" i="5"/>
  <c r="B75" i="5"/>
  <c r="C75" i="5"/>
  <c r="F75" i="5"/>
  <c r="I75" i="5"/>
  <c r="B76" i="5"/>
  <c r="C76" i="5"/>
  <c r="F76" i="5"/>
  <c r="I76" i="5"/>
  <c r="B77" i="5"/>
  <c r="C77" i="5"/>
  <c r="F77" i="5"/>
  <c r="I77" i="5"/>
  <c r="B78" i="5"/>
  <c r="C78" i="5"/>
  <c r="E78" i="5"/>
  <c r="F78" i="5"/>
  <c r="I78" i="5"/>
  <c r="B79" i="5"/>
  <c r="C79" i="5"/>
  <c r="F79" i="5"/>
  <c r="E81" i="5" s="1"/>
  <c r="I79" i="5"/>
  <c r="B80" i="5"/>
  <c r="C80" i="5"/>
  <c r="F80" i="5"/>
  <c r="I80" i="5"/>
  <c r="B81" i="5"/>
  <c r="C81" i="5"/>
  <c r="F81" i="5"/>
  <c r="I81" i="5"/>
  <c r="B82" i="5"/>
  <c r="C82" i="5"/>
  <c r="F82" i="5"/>
  <c r="I82" i="5"/>
  <c r="B83" i="5"/>
  <c r="C83" i="5"/>
  <c r="F83" i="5"/>
  <c r="I83" i="5"/>
  <c r="B84" i="5"/>
  <c r="C84" i="5"/>
  <c r="F84" i="5"/>
  <c r="I84" i="5"/>
  <c r="B85" i="5"/>
  <c r="C85" i="5"/>
  <c r="F85" i="5"/>
  <c r="I85" i="5"/>
  <c r="B86" i="5"/>
  <c r="C86" i="5"/>
  <c r="F86" i="5"/>
  <c r="I86" i="5"/>
  <c r="B87" i="5"/>
  <c r="C87" i="5"/>
  <c r="F87" i="5"/>
  <c r="I87" i="5"/>
  <c r="B88" i="5"/>
  <c r="C88" i="5"/>
  <c r="F88" i="5"/>
  <c r="I88" i="5"/>
  <c r="B89" i="5"/>
  <c r="C89" i="5"/>
  <c r="F89" i="5"/>
  <c r="I89" i="5"/>
  <c r="B90" i="5"/>
  <c r="C90" i="5"/>
  <c r="F90" i="5"/>
  <c r="I90" i="5"/>
  <c r="B91" i="5"/>
  <c r="C91" i="5"/>
  <c r="F91" i="5"/>
  <c r="I91" i="5"/>
  <c r="B92" i="5"/>
  <c r="B3" i="501"/>
  <c r="B4" i="501"/>
  <c r="J11" i="501"/>
  <c r="E11" i="501" s="1"/>
  <c r="H15" i="501"/>
  <c r="I15" i="501" s="1"/>
  <c r="I16" i="501"/>
  <c r="B1" i="500"/>
  <c r="B3" i="499"/>
  <c r="B4" i="499"/>
  <c r="J11" i="499"/>
  <c r="E11" i="499" s="1"/>
  <c r="N11" i="499" s="1"/>
  <c r="N12" i="499" s="1"/>
  <c r="J90" i="5" s="1"/>
  <c r="I15" i="499"/>
  <c r="I16" i="499"/>
  <c r="I17" i="499"/>
  <c r="I18" i="499"/>
  <c r="I19" i="499"/>
  <c r="B10" i="498"/>
  <c r="D10" i="498"/>
  <c r="B11" i="498"/>
  <c r="D11" i="498"/>
  <c r="D15" i="498"/>
  <c r="N15" i="498" s="1"/>
  <c r="D16" i="498"/>
  <c r="N16" i="498" s="1"/>
  <c r="I20" i="498"/>
  <c r="I21" i="498"/>
  <c r="I22" i="498"/>
  <c r="I23" i="498"/>
  <c r="I24" i="498"/>
  <c r="I25" i="498"/>
  <c r="A26" i="498"/>
  <c r="A27" i="498" s="1"/>
  <c r="A28" i="498" s="1"/>
  <c r="A29" i="498" s="1"/>
  <c r="A30" i="498" s="1"/>
  <c r="A31" i="498" s="1"/>
  <c r="A32" i="498" s="1"/>
  <c r="I26" i="498"/>
  <c r="I27" i="498"/>
  <c r="I28" i="498"/>
  <c r="I29" i="498"/>
  <c r="I30" i="498"/>
  <c r="I31" i="498"/>
  <c r="I32" i="498"/>
  <c r="D36" i="498"/>
  <c r="J36" i="498" s="1"/>
  <c r="A37" i="498"/>
  <c r="A38" i="498" s="1"/>
  <c r="A39" i="498" s="1"/>
  <c r="A40" i="498" s="1"/>
  <c r="D37" i="498"/>
  <c r="J37" i="498" s="1"/>
  <c r="J38" i="498"/>
  <c r="D39" i="498"/>
  <c r="J39" i="498" s="1"/>
  <c r="D40" i="498"/>
  <c r="J40" i="498" s="1"/>
  <c r="B3" i="496"/>
  <c r="B4" i="496"/>
  <c r="J11" i="496"/>
  <c r="E11" i="496" s="1"/>
  <c r="H15" i="496"/>
  <c r="I15" i="496" s="1"/>
  <c r="I16" i="496"/>
  <c r="B3" i="494"/>
  <c r="B4" i="494"/>
  <c r="J11" i="494"/>
  <c r="H15" i="494"/>
  <c r="I15" i="494" s="1"/>
  <c r="I16" i="494"/>
  <c r="J11" i="492"/>
  <c r="E11" i="492" s="1"/>
  <c r="N11" i="492" s="1"/>
  <c r="N12" i="492" s="1"/>
  <c r="J86" i="5" s="1"/>
  <c r="B3" i="491"/>
  <c r="B4" i="491"/>
  <c r="J11" i="491"/>
  <c r="E11" i="491" s="1"/>
  <c r="B3" i="488"/>
  <c r="B4" i="488"/>
  <c r="J11" i="488"/>
  <c r="E11" i="488" s="1"/>
  <c r="N11" i="488" s="1"/>
  <c r="N12" i="488" s="1"/>
  <c r="J83" i="5" s="1"/>
  <c r="H15" i="488"/>
  <c r="I15" i="488" s="1"/>
  <c r="I16" i="488"/>
  <c r="B3" i="486"/>
  <c r="B4" i="486"/>
  <c r="J11" i="486"/>
  <c r="E11" i="486" s="1"/>
  <c r="N11" i="486" s="1"/>
  <c r="N12" i="486" s="1"/>
  <c r="J82" i="5" s="1"/>
  <c r="I15" i="486"/>
  <c r="I16" i="486"/>
  <c r="I17" i="486"/>
  <c r="B3" i="484"/>
  <c r="B4" i="484"/>
  <c r="J11" i="484"/>
  <c r="E11" i="484" s="1"/>
  <c r="N11" i="484" s="1"/>
  <c r="N12" i="484" s="1"/>
  <c r="J81" i="5" s="1"/>
  <c r="I15" i="484"/>
  <c r="I16" i="484"/>
  <c r="I17" i="484"/>
  <c r="I18" i="484"/>
  <c r="I19" i="484"/>
  <c r="I20" i="484"/>
  <c r="I21" i="484"/>
  <c r="I22" i="484"/>
  <c r="B3" i="482"/>
  <c r="B4" i="482"/>
  <c r="J11" i="482"/>
  <c r="E11" i="482" s="1"/>
  <c r="N11" i="482" s="1"/>
  <c r="N12" i="482" s="1"/>
  <c r="J80" i="5" s="1"/>
  <c r="I15" i="482"/>
  <c r="I16" i="482"/>
  <c r="I17" i="482"/>
  <c r="I18" i="482"/>
  <c r="I19" i="482"/>
  <c r="I20" i="482"/>
  <c r="I21" i="482"/>
  <c r="I22" i="482"/>
  <c r="I23" i="482"/>
  <c r="I24" i="482"/>
  <c r="I25" i="482"/>
  <c r="I26" i="482"/>
  <c r="I27" i="482"/>
  <c r="B10" i="481"/>
  <c r="D10" i="481"/>
  <c r="D11" i="481"/>
  <c r="D12" i="481"/>
  <c r="D13" i="481"/>
  <c r="I18" i="481"/>
  <c r="I19" i="481"/>
  <c r="I20" i="481"/>
  <c r="I21" i="481"/>
  <c r="I22" i="481"/>
  <c r="I23" i="481"/>
  <c r="I24" i="481"/>
  <c r="I25" i="481"/>
  <c r="I26" i="481"/>
  <c r="I27" i="481"/>
  <c r="I28" i="481"/>
  <c r="I29" i="481"/>
  <c r="D33" i="481"/>
  <c r="J33" i="481" s="1"/>
  <c r="D34" i="481"/>
  <c r="J34" i="481" s="1"/>
  <c r="D35" i="481"/>
  <c r="J35" i="481" s="1"/>
  <c r="D36" i="481"/>
  <c r="J36" i="481" s="1"/>
  <c r="D37" i="481"/>
  <c r="J37" i="481" s="1"/>
  <c r="D38" i="481"/>
  <c r="J38" i="481" s="1"/>
  <c r="D39" i="481"/>
  <c r="J39" i="481" s="1"/>
  <c r="D40" i="481"/>
  <c r="J40" i="481" s="1"/>
  <c r="D41" i="481"/>
  <c r="J41" i="481" s="1"/>
  <c r="B3" i="479"/>
  <c r="B4" i="479"/>
  <c r="J11" i="479"/>
  <c r="E11" i="479" s="1"/>
  <c r="N11" i="479" s="1"/>
  <c r="N12" i="479" s="1"/>
  <c r="J78" i="5" s="1"/>
  <c r="H15" i="479"/>
  <c r="I15" i="479" s="1"/>
  <c r="I16" i="479"/>
  <c r="B3" i="477"/>
  <c r="B4" i="477"/>
  <c r="J11" i="477"/>
  <c r="E11" i="477" s="1"/>
  <c r="N11" i="477" s="1"/>
  <c r="N12" i="477" s="1"/>
  <c r="J77" i="5" s="1"/>
  <c r="I15" i="477"/>
  <c r="I16" i="477"/>
  <c r="I17" i="477"/>
  <c r="B3" i="475"/>
  <c r="B4" i="475"/>
  <c r="J11" i="475"/>
  <c r="E11" i="475" s="1"/>
  <c r="N11" i="475" s="1"/>
  <c r="N12" i="475" s="1"/>
  <c r="J76" i="5" s="1"/>
  <c r="I15" i="475"/>
  <c r="I16" i="475"/>
  <c r="I17" i="475"/>
  <c r="I18" i="475"/>
  <c r="I19" i="475"/>
  <c r="I20" i="475"/>
  <c r="I21" i="475"/>
  <c r="I22" i="475"/>
  <c r="B3" i="473"/>
  <c r="B4" i="473"/>
  <c r="J11" i="473"/>
  <c r="E11" i="473" s="1"/>
  <c r="N11" i="473" s="1"/>
  <c r="N12" i="473" s="1"/>
  <c r="J75" i="5" s="1"/>
  <c r="I15" i="473"/>
  <c r="I16" i="473"/>
  <c r="I17" i="473"/>
  <c r="I18" i="473"/>
  <c r="B3" i="471"/>
  <c r="B4" i="471"/>
  <c r="J11" i="471"/>
  <c r="E11" i="471" s="1"/>
  <c r="N11" i="471" s="1"/>
  <c r="N12" i="471" s="1"/>
  <c r="J74" i="5" s="1"/>
  <c r="I15" i="471"/>
  <c r="I16" i="471"/>
  <c r="I17" i="471"/>
  <c r="I18" i="471"/>
  <c r="I19" i="471"/>
  <c r="I20" i="471"/>
  <c r="I21" i="471"/>
  <c r="I22" i="471"/>
  <c r="I23" i="471"/>
  <c r="I24" i="471"/>
  <c r="I25" i="471"/>
  <c r="I26" i="471"/>
  <c r="I27" i="471"/>
  <c r="I28" i="471"/>
  <c r="B10" i="470"/>
  <c r="D10" i="470"/>
  <c r="D11" i="470"/>
  <c r="D12" i="470"/>
  <c r="D13" i="470"/>
  <c r="D14" i="470"/>
  <c r="I19" i="470"/>
  <c r="I20" i="470"/>
  <c r="I21" i="470"/>
  <c r="I22" i="470"/>
  <c r="I23" i="470"/>
  <c r="I24" i="470"/>
  <c r="I25" i="470"/>
  <c r="I26" i="470"/>
  <c r="I27" i="470"/>
  <c r="I28" i="470"/>
  <c r="I29" i="470"/>
  <c r="D33" i="470"/>
  <c r="J33" i="470" s="1"/>
  <c r="D34" i="470"/>
  <c r="J34" i="470" s="1"/>
  <c r="D35" i="470"/>
  <c r="J35" i="470" s="1"/>
  <c r="D36" i="470"/>
  <c r="J36" i="470" s="1"/>
  <c r="D37" i="470"/>
  <c r="J37" i="470" s="1"/>
  <c r="D38" i="470"/>
  <c r="J38" i="470" s="1"/>
  <c r="B3" i="468"/>
  <c r="B4" i="468"/>
  <c r="J11" i="468"/>
  <c r="N11" i="468" s="1"/>
  <c r="N12" i="468" s="1"/>
  <c r="J72" i="5" s="1"/>
  <c r="H15" i="468"/>
  <c r="I15" i="468" s="1"/>
  <c r="I16" i="468"/>
  <c r="B3" i="466"/>
  <c r="B4" i="466"/>
  <c r="J11" i="466"/>
  <c r="I15" i="466"/>
  <c r="I16" i="466"/>
  <c r="B4" i="464"/>
  <c r="J11" i="464"/>
  <c r="E11" i="464" s="1"/>
  <c r="N11" i="464" s="1"/>
  <c r="N12" i="464" s="1"/>
  <c r="J70" i="5" s="1"/>
  <c r="B3" i="463"/>
  <c r="B4" i="463"/>
  <c r="J11" i="463"/>
  <c r="E11" i="463" s="1"/>
  <c r="B12" i="462"/>
  <c r="B13" i="462"/>
  <c r="B3" i="461"/>
  <c r="B4" i="461"/>
  <c r="J11" i="461"/>
  <c r="E11" i="461" s="1"/>
  <c r="N11" i="461" s="1"/>
  <c r="N12" i="461" s="1"/>
  <c r="J67" i="5" s="1"/>
  <c r="I15" i="461"/>
  <c r="I16" i="461"/>
  <c r="I18" i="461"/>
  <c r="B3" i="459"/>
  <c r="B4" i="459"/>
  <c r="J11" i="459"/>
  <c r="I15" i="459"/>
  <c r="I16" i="459"/>
  <c r="B3" i="458"/>
  <c r="B4" i="458"/>
  <c r="J11" i="458"/>
  <c r="E11" i="458" s="1"/>
  <c r="N11" i="458" s="1"/>
  <c r="N12" i="458" s="1"/>
  <c r="I16" i="458"/>
  <c r="I17" i="458" s="1"/>
  <c r="K65" i="5" s="1"/>
  <c r="D10" i="457"/>
  <c r="D11" i="457"/>
  <c r="D12" i="457"/>
  <c r="N16" i="457"/>
  <c r="N17" i="457"/>
  <c r="F21" i="457"/>
  <c r="I21" i="457" s="1"/>
  <c r="I22" i="457"/>
  <c r="I23" i="457"/>
  <c r="I24" i="457"/>
  <c r="I25" i="457"/>
  <c r="I26" i="457"/>
  <c r="I27" i="457"/>
  <c r="I28" i="457"/>
  <c r="I29" i="457"/>
  <c r="I30" i="457"/>
  <c r="D34" i="457"/>
  <c r="J34" i="457" s="1"/>
  <c r="J35" i="457"/>
  <c r="D36" i="457"/>
  <c r="J36" i="457" s="1"/>
  <c r="I40" i="457"/>
  <c r="I41" i="457" s="1"/>
  <c r="M64" i="5" s="1"/>
  <c r="B3" i="455"/>
  <c r="B4" i="455"/>
  <c r="J11" i="455"/>
  <c r="E11" i="455" s="1"/>
  <c r="N11" i="455" s="1"/>
  <c r="N12" i="455" s="1"/>
  <c r="J63" i="5" s="1"/>
  <c r="I15" i="455"/>
  <c r="I16" i="455"/>
  <c r="I17" i="455"/>
  <c r="I18" i="455"/>
  <c r="I19" i="455"/>
  <c r="I20" i="455"/>
  <c r="I21" i="455"/>
  <c r="D10" i="454"/>
  <c r="N14" i="454"/>
  <c r="N15" i="454"/>
  <c r="N16" i="454"/>
  <c r="N17" i="454"/>
  <c r="F21" i="454"/>
  <c r="I21" i="454" s="1"/>
  <c r="I22" i="454"/>
  <c r="I23" i="454"/>
  <c r="I24" i="454"/>
  <c r="I25" i="454"/>
  <c r="I26" i="454"/>
  <c r="I27" i="454"/>
  <c r="I28" i="454"/>
  <c r="I29" i="454"/>
  <c r="I30" i="454"/>
  <c r="D34" i="454"/>
  <c r="J34" i="454" s="1"/>
  <c r="J35" i="454"/>
  <c r="D36" i="454"/>
  <c r="J36" i="454" s="1"/>
  <c r="I40" i="454"/>
  <c r="I41" i="454" s="1"/>
  <c r="M62" i="5" s="1"/>
  <c r="B3" i="453"/>
  <c r="B4" i="453"/>
  <c r="J11" i="453"/>
  <c r="E11" i="453" s="1"/>
  <c r="N11" i="453" s="1"/>
  <c r="N12" i="453" s="1"/>
  <c r="J61" i="5" s="1"/>
  <c r="I15" i="453"/>
  <c r="I16" i="453"/>
  <c r="I18" i="453"/>
  <c r="B3" i="451"/>
  <c r="B4" i="451"/>
  <c r="J11" i="451"/>
  <c r="E11" i="451" s="1"/>
  <c r="I15" i="451"/>
  <c r="I16" i="451"/>
  <c r="B3" i="450"/>
  <c r="B4" i="450"/>
  <c r="J11" i="450"/>
  <c r="E11" i="450" s="1"/>
  <c r="N11" i="450" s="1"/>
  <c r="N12" i="450" s="1"/>
  <c r="I16" i="450"/>
  <c r="I17" i="450" s="1"/>
  <c r="K59" i="5" s="1"/>
  <c r="B3" i="449"/>
  <c r="B4" i="449"/>
  <c r="J11" i="449"/>
  <c r="E11" i="449" s="1"/>
  <c r="N11" i="449" s="1"/>
  <c r="N12" i="449" s="1"/>
  <c r="J58" i="5" s="1"/>
  <c r="I16" i="449"/>
  <c r="I17" i="449" s="1"/>
  <c r="K58" i="5" s="1"/>
  <c r="D10" i="448"/>
  <c r="D11" i="448"/>
  <c r="D12" i="448"/>
  <c r="D13" i="448"/>
  <c r="N17" i="448"/>
  <c r="N18" i="448"/>
  <c r="I22" i="448"/>
  <c r="I23" i="448"/>
  <c r="I24" i="448"/>
  <c r="I25" i="448"/>
  <c r="I26" i="448"/>
  <c r="I27" i="448"/>
  <c r="I28" i="448"/>
  <c r="I29" i="448"/>
  <c r="I30" i="448"/>
  <c r="I31" i="448"/>
  <c r="D35" i="448"/>
  <c r="J35" i="448" s="1"/>
  <c r="J36" i="448"/>
  <c r="D37" i="448"/>
  <c r="J37" i="448" s="1"/>
  <c r="I41" i="448"/>
  <c r="I42" i="448" s="1"/>
  <c r="M57" i="5" s="1"/>
  <c r="B3" i="446"/>
  <c r="B4" i="446"/>
  <c r="J11" i="446"/>
  <c r="E11" i="446" s="1"/>
  <c r="N11" i="446" s="1"/>
  <c r="N12" i="446" s="1"/>
  <c r="J56" i="5" s="1"/>
  <c r="I15" i="446"/>
  <c r="I16" i="446"/>
  <c r="I17" i="446"/>
  <c r="I18" i="446"/>
  <c r="I19" i="446"/>
  <c r="I20" i="446"/>
  <c r="I21" i="446"/>
  <c r="D10" i="445"/>
  <c r="N14" i="445"/>
  <c r="N15" i="445"/>
  <c r="N16" i="445"/>
  <c r="N17" i="445"/>
  <c r="F21" i="445"/>
  <c r="I21" i="445" s="1"/>
  <c r="I22" i="445"/>
  <c r="I23" i="445"/>
  <c r="I24" i="445"/>
  <c r="I25" i="445"/>
  <c r="I26" i="445"/>
  <c r="I27" i="445"/>
  <c r="I28" i="445"/>
  <c r="I29" i="445"/>
  <c r="I30" i="445"/>
  <c r="D34" i="445"/>
  <c r="J34" i="445" s="1"/>
  <c r="J35" i="445"/>
  <c r="D36" i="445"/>
  <c r="J36" i="445" s="1"/>
  <c r="I40" i="445"/>
  <c r="I41" i="445" s="1"/>
  <c r="M55" i="5" s="1"/>
  <c r="B3" i="443"/>
  <c r="J11" i="443"/>
  <c r="I16" i="443"/>
  <c r="I17" i="443"/>
  <c r="I18" i="443"/>
  <c r="I19" i="443"/>
  <c r="B3" i="441"/>
  <c r="J11" i="441"/>
  <c r="I16" i="441"/>
  <c r="I17" i="441"/>
  <c r="I18" i="441"/>
  <c r="I19" i="441"/>
  <c r="B3" i="439"/>
  <c r="J11" i="439"/>
  <c r="I16" i="439"/>
  <c r="I17" i="439"/>
  <c r="I18" i="439"/>
  <c r="I19" i="439"/>
  <c r="B3" i="437"/>
  <c r="J11" i="437"/>
  <c r="I16" i="437"/>
  <c r="I17" i="437"/>
  <c r="I18" i="437"/>
  <c r="I19" i="437"/>
  <c r="B3" i="435"/>
  <c r="J11" i="435"/>
  <c r="N11" i="435" s="1"/>
  <c r="N12" i="435" s="1"/>
  <c r="I15" i="435"/>
  <c r="I16" i="435" s="1"/>
  <c r="K50" i="5" s="1"/>
  <c r="B3" i="433"/>
  <c r="J11" i="433"/>
  <c r="E11" i="433" s="1"/>
  <c r="N11" i="433" s="1"/>
  <c r="N12" i="433" s="1"/>
  <c r="J49" i="5" s="1"/>
  <c r="I15" i="433"/>
  <c r="I16" i="433"/>
  <c r="B3" i="431"/>
  <c r="J11" i="431"/>
  <c r="E11" i="431" s="1"/>
  <c r="N11" i="431" s="1"/>
  <c r="N12" i="431" s="1"/>
  <c r="J48" i="5" s="1"/>
  <c r="I15" i="431"/>
  <c r="I16" i="431"/>
  <c r="B3" i="430"/>
  <c r="J11" i="430"/>
  <c r="E11" i="430" s="1"/>
  <c r="D11" i="430" s="1"/>
  <c r="N11" i="430" s="1"/>
  <c r="N12" i="430" s="1"/>
  <c r="J47" i="5" s="1"/>
  <c r="B3" i="429"/>
  <c r="J11" i="429"/>
  <c r="B3" i="427"/>
  <c r="D11" i="427"/>
  <c r="J11" i="427"/>
  <c r="E11" i="427" s="1"/>
  <c r="H15" i="427"/>
  <c r="I15" i="427" s="1"/>
  <c r="I16" i="427"/>
  <c r="H17" i="427"/>
  <c r="I17" i="427" s="1"/>
  <c r="I18" i="427"/>
  <c r="H19" i="427"/>
  <c r="I19" i="427" s="1"/>
  <c r="I20" i="427"/>
  <c r="B3" i="425"/>
  <c r="J11" i="425"/>
  <c r="N11" i="425"/>
  <c r="N12" i="425" s="1"/>
  <c r="J44" i="5" s="1"/>
  <c r="I15" i="425"/>
  <c r="I16" i="425"/>
  <c r="I17" i="425"/>
  <c r="I18" i="425"/>
  <c r="I19" i="425"/>
  <c r="I20" i="425"/>
  <c r="I21" i="425"/>
  <c r="I22" i="425"/>
  <c r="B10" i="424"/>
  <c r="D10" i="424"/>
  <c r="B11" i="424"/>
  <c r="D11" i="424"/>
  <c r="B12" i="424"/>
  <c r="D12" i="424"/>
  <c r="B13" i="424"/>
  <c r="D13" i="424"/>
  <c r="B14" i="424"/>
  <c r="D14" i="424"/>
  <c r="B15" i="424"/>
  <c r="D15" i="424"/>
  <c r="B16" i="424"/>
  <c r="D16" i="424"/>
  <c r="B17" i="424"/>
  <c r="D17" i="424"/>
  <c r="B18" i="424"/>
  <c r="D18" i="424"/>
  <c r="B19" i="424"/>
  <c r="D19" i="424"/>
  <c r="B20" i="424"/>
  <c r="D20" i="424"/>
  <c r="D24" i="424"/>
  <c r="N24" i="424" s="1"/>
  <c r="N25" i="424"/>
  <c r="N26" i="424"/>
  <c r="I30" i="424"/>
  <c r="I31" i="424"/>
  <c r="I32" i="424"/>
  <c r="I33" i="424"/>
  <c r="I34" i="424"/>
  <c r="I35" i="424"/>
  <c r="I36" i="424"/>
  <c r="I37" i="424"/>
  <c r="I38" i="424"/>
  <c r="I39" i="424"/>
  <c r="I40" i="424"/>
  <c r="I41" i="424"/>
  <c r="I42" i="424"/>
  <c r="I43" i="424"/>
  <c r="I44" i="424"/>
  <c r="I45" i="424"/>
  <c r="I46" i="424"/>
  <c r="I47" i="424"/>
  <c r="I48" i="424"/>
  <c r="I49" i="424"/>
  <c r="I50" i="424"/>
  <c r="I51" i="424"/>
  <c r="D55" i="424"/>
  <c r="J55" i="424" s="1"/>
  <c r="D56" i="424"/>
  <c r="J56" i="424" s="1"/>
  <c r="J57" i="424"/>
  <c r="F61" i="424"/>
  <c r="I61" i="424" s="1"/>
  <c r="I62" i="424" s="1"/>
  <c r="M43" i="5" s="1"/>
  <c r="B3" i="422"/>
  <c r="J11" i="422"/>
  <c r="N11" i="422" s="1"/>
  <c r="I16" i="422"/>
  <c r="I17" i="422"/>
  <c r="I18" i="422"/>
  <c r="I19" i="422"/>
  <c r="B3" i="420"/>
  <c r="J11" i="420"/>
  <c r="N11" i="420" s="1"/>
  <c r="I16" i="420"/>
  <c r="I17" i="420"/>
  <c r="I18" i="420"/>
  <c r="I19" i="420"/>
  <c r="B3" i="418"/>
  <c r="J11" i="418"/>
  <c r="E11" i="418" s="1"/>
  <c r="I16" i="418"/>
  <c r="I17" i="418"/>
  <c r="I18" i="418"/>
  <c r="I19" i="418"/>
  <c r="B3" i="416"/>
  <c r="J11" i="416"/>
  <c r="I16" i="416"/>
  <c r="I17" i="416"/>
  <c r="I18" i="416"/>
  <c r="I19" i="416"/>
  <c r="B1" i="415"/>
  <c r="B3" i="414"/>
  <c r="J11" i="414"/>
  <c r="N11" i="414" s="1"/>
  <c r="N12" i="414" s="1"/>
  <c r="J38" i="5" s="1"/>
  <c r="I15" i="414"/>
  <c r="I16" i="414" s="1"/>
  <c r="K38" i="5" s="1"/>
  <c r="B3" i="412"/>
  <c r="J11" i="412"/>
  <c r="E11" i="412" s="1"/>
  <c r="N11" i="412" s="1"/>
  <c r="N12" i="412" s="1"/>
  <c r="J37" i="5" s="1"/>
  <c r="I15" i="412"/>
  <c r="I16" i="412"/>
  <c r="B1" i="411"/>
  <c r="B3" i="410"/>
  <c r="J11" i="410"/>
  <c r="E11" i="410" s="1"/>
  <c r="N11" i="410" s="1"/>
  <c r="N12" i="410" s="1"/>
  <c r="J36" i="5" s="1"/>
  <c r="H15" i="410"/>
  <c r="I15" i="410" s="1"/>
  <c r="I16" i="410"/>
  <c r="B3" i="409"/>
  <c r="J11" i="409"/>
  <c r="E11" i="409" s="1"/>
  <c r="D11" i="409" s="1"/>
  <c r="N11" i="409" s="1"/>
  <c r="N12" i="409" s="1"/>
  <c r="J35" i="5" s="1"/>
  <c r="B3" i="408"/>
  <c r="J11" i="408"/>
  <c r="B1" i="407"/>
  <c r="B3" i="406"/>
  <c r="D11" i="406"/>
  <c r="J11" i="406"/>
  <c r="H15" i="406"/>
  <c r="I15" i="406" s="1"/>
  <c r="I16" i="406"/>
  <c r="H17" i="406"/>
  <c r="I17" i="406" s="1"/>
  <c r="I18" i="406"/>
  <c r="H19" i="406"/>
  <c r="I19" i="406" s="1"/>
  <c r="I20" i="406"/>
  <c r="B1" i="405"/>
  <c r="B3" i="404"/>
  <c r="D11" i="404"/>
  <c r="J11" i="404"/>
  <c r="I15" i="404"/>
  <c r="I16" i="404"/>
  <c r="I17" i="404"/>
  <c r="I18" i="404"/>
  <c r="I19" i="404"/>
  <c r="I20" i="404"/>
  <c r="I21" i="404"/>
  <c r="I22" i="404"/>
  <c r="I23" i="404"/>
  <c r="I24" i="404"/>
  <c r="I25" i="404"/>
  <c r="B10" i="403"/>
  <c r="D10" i="403"/>
  <c r="B11" i="403"/>
  <c r="D11" i="403"/>
  <c r="B12" i="403"/>
  <c r="D12" i="403"/>
  <c r="B13" i="403"/>
  <c r="D13" i="403"/>
  <c r="B14" i="403"/>
  <c r="D14" i="403"/>
  <c r="B15" i="403"/>
  <c r="D15" i="403"/>
  <c r="B16" i="403"/>
  <c r="D16" i="403"/>
  <c r="B17" i="403"/>
  <c r="D17" i="403"/>
  <c r="B18" i="403"/>
  <c r="D18" i="403"/>
  <c r="B19" i="403"/>
  <c r="D19" i="403"/>
  <c r="B20" i="403"/>
  <c r="D20" i="403"/>
  <c r="D24" i="403"/>
  <c r="N24" i="403" s="1"/>
  <c r="N25" i="403"/>
  <c r="N26" i="403"/>
  <c r="I30" i="403"/>
  <c r="I31" i="403"/>
  <c r="I32" i="403"/>
  <c r="I33" i="403"/>
  <c r="I34" i="403"/>
  <c r="I35" i="403"/>
  <c r="I36" i="403"/>
  <c r="I37" i="403"/>
  <c r="I38" i="403"/>
  <c r="I39" i="403"/>
  <c r="I40" i="403"/>
  <c r="I41" i="403"/>
  <c r="I42" i="403"/>
  <c r="I43" i="403"/>
  <c r="I44" i="403"/>
  <c r="I45" i="403"/>
  <c r="I46" i="403"/>
  <c r="I47" i="403"/>
  <c r="I48" i="403"/>
  <c r="I49" i="403"/>
  <c r="I50" i="403"/>
  <c r="I51" i="403"/>
  <c r="D55" i="403"/>
  <c r="J55" i="403" s="1"/>
  <c r="D56" i="403"/>
  <c r="J56" i="403" s="1"/>
  <c r="J57" i="403"/>
  <c r="F61" i="403"/>
  <c r="I61" i="403" s="1"/>
  <c r="I62" i="403" s="1"/>
  <c r="M31" i="5" s="1"/>
  <c r="B3" i="401"/>
  <c r="J11" i="401"/>
  <c r="I16" i="401"/>
  <c r="I17" i="401"/>
  <c r="I18" i="401"/>
  <c r="I19" i="401"/>
  <c r="B3" i="399"/>
  <c r="J11" i="399"/>
  <c r="I16" i="399"/>
  <c r="I17" i="399"/>
  <c r="I18" i="399"/>
  <c r="I19" i="399"/>
  <c r="B3" i="397"/>
  <c r="J11" i="397"/>
  <c r="I16" i="397"/>
  <c r="I17" i="397"/>
  <c r="I18" i="397"/>
  <c r="I19" i="397"/>
  <c r="B3" i="395"/>
  <c r="J11" i="395"/>
  <c r="I16" i="395"/>
  <c r="I17" i="395"/>
  <c r="I18" i="395"/>
  <c r="I19" i="395"/>
  <c r="B1" i="394"/>
  <c r="B3" i="393"/>
  <c r="J11" i="393"/>
  <c r="N11" i="393" s="1"/>
  <c r="N12" i="393" s="1"/>
  <c r="J26" i="5" s="1"/>
  <c r="I15" i="393"/>
  <c r="I16" i="393" s="1"/>
  <c r="K26" i="5" s="1"/>
  <c r="B1" i="392"/>
  <c r="B3" i="391"/>
  <c r="J11" i="391"/>
  <c r="E11" i="391" s="1"/>
  <c r="N11" i="391" s="1"/>
  <c r="N12" i="391" s="1"/>
  <c r="J25" i="5" s="1"/>
  <c r="I15" i="391"/>
  <c r="I16" i="391"/>
  <c r="B3" i="389"/>
  <c r="J11" i="389"/>
  <c r="K11" i="389"/>
  <c r="I15" i="389"/>
  <c r="I16" i="389"/>
  <c r="B3" i="388"/>
  <c r="J11" i="388"/>
  <c r="K11" i="388"/>
  <c r="B3" i="387"/>
  <c r="J11" i="387"/>
  <c r="B3" i="385"/>
  <c r="D11" i="385"/>
  <c r="J11" i="385"/>
  <c r="E11" i="385" s="1"/>
  <c r="H15" i="385"/>
  <c r="I15" i="385" s="1"/>
  <c r="I16" i="385"/>
  <c r="H17" i="385"/>
  <c r="I17" i="385" s="1"/>
  <c r="I18" i="385"/>
  <c r="H19" i="385"/>
  <c r="I19" i="385" s="1"/>
  <c r="I20" i="385"/>
  <c r="B1" i="384"/>
  <c r="B3" i="383"/>
  <c r="J11" i="383"/>
  <c r="N11" i="383"/>
  <c r="N12" i="383" s="1"/>
  <c r="J20" i="5" s="1"/>
  <c r="I15" i="383"/>
  <c r="I16" i="383"/>
  <c r="I17" i="383"/>
  <c r="I18" i="383"/>
  <c r="I19" i="383"/>
  <c r="I20" i="383"/>
  <c r="I21" i="383"/>
  <c r="I22" i="383"/>
  <c r="B10" i="382"/>
  <c r="D10" i="382"/>
  <c r="B11" i="382"/>
  <c r="D11" i="382"/>
  <c r="B12" i="382"/>
  <c r="D12" i="382"/>
  <c r="B13" i="382"/>
  <c r="D13" i="382"/>
  <c r="B14" i="382"/>
  <c r="D14" i="382"/>
  <c r="B15" i="382"/>
  <c r="D15" i="382"/>
  <c r="B16" i="382"/>
  <c r="D16" i="382"/>
  <c r="B17" i="382"/>
  <c r="D17" i="382"/>
  <c r="B18" i="382"/>
  <c r="D18" i="382"/>
  <c r="B19" i="382"/>
  <c r="D19" i="382"/>
  <c r="B20" i="382"/>
  <c r="D20" i="382"/>
  <c r="D24" i="382"/>
  <c r="N24" i="382" s="1"/>
  <c r="N25" i="382"/>
  <c r="N26" i="382"/>
  <c r="I30" i="382"/>
  <c r="I31" i="382"/>
  <c r="I32" i="382"/>
  <c r="I33" i="382"/>
  <c r="I34" i="382"/>
  <c r="I35" i="382"/>
  <c r="I36" i="382"/>
  <c r="I37" i="382"/>
  <c r="I38" i="382"/>
  <c r="I39" i="382"/>
  <c r="I40" i="382"/>
  <c r="I41" i="382"/>
  <c r="I42" i="382"/>
  <c r="I43" i="382"/>
  <c r="I44" i="382"/>
  <c r="I45" i="382"/>
  <c r="I46" i="382"/>
  <c r="I47" i="382"/>
  <c r="I48" i="382"/>
  <c r="I49" i="382"/>
  <c r="I50" i="382"/>
  <c r="I51" i="382"/>
  <c r="D55" i="382"/>
  <c r="J55" i="382" s="1"/>
  <c r="D56" i="382"/>
  <c r="J56" i="382" s="1"/>
  <c r="J57" i="382"/>
  <c r="F61" i="382"/>
  <c r="I61" i="382" s="1"/>
  <c r="I62" i="382" s="1"/>
  <c r="M19" i="5" s="1"/>
  <c r="B3" i="380"/>
  <c r="B4" i="380"/>
  <c r="N5" i="380"/>
  <c r="E11" i="380"/>
  <c r="N11" i="380"/>
  <c r="E12" i="380"/>
  <c r="N12" i="380" s="1"/>
  <c r="I16" i="380"/>
  <c r="I17" i="380"/>
  <c r="I18" i="380"/>
  <c r="I19" i="380"/>
  <c r="F20" i="380"/>
  <c r="I20" i="380" s="1"/>
  <c r="B3" i="378"/>
  <c r="B4" i="378"/>
  <c r="E11" i="378"/>
  <c r="N11" i="378"/>
  <c r="E12" i="378"/>
  <c r="N12" i="378" s="1"/>
  <c r="I16" i="378"/>
  <c r="I17" i="378"/>
  <c r="I18" i="378"/>
  <c r="I19" i="378"/>
  <c r="F20" i="378"/>
  <c r="I20" i="378" s="1"/>
  <c r="B3" i="376"/>
  <c r="B4" i="376"/>
  <c r="E11" i="376"/>
  <c r="N11" i="376"/>
  <c r="E12" i="376"/>
  <c r="N12" i="376" s="1"/>
  <c r="I16" i="376"/>
  <c r="I17" i="376"/>
  <c r="I18" i="376"/>
  <c r="I19" i="376"/>
  <c r="F20" i="376"/>
  <c r="I20" i="376" s="1"/>
  <c r="B3" i="374"/>
  <c r="B4" i="374"/>
  <c r="J11" i="374"/>
  <c r="I16" i="374"/>
  <c r="I17" i="374"/>
  <c r="I18" i="374"/>
  <c r="I19" i="374"/>
  <c r="B1" i="373"/>
  <c r="L58" i="373"/>
  <c r="B3" i="372"/>
  <c r="B4" i="372"/>
  <c r="J11" i="372"/>
  <c r="N11" i="372" s="1"/>
  <c r="N12" i="372" s="1"/>
  <c r="J14" i="5" s="1"/>
  <c r="I15" i="372"/>
  <c r="I16" i="372" s="1"/>
  <c r="K14" i="5" s="1"/>
  <c r="B1" i="371"/>
  <c r="B3" i="370"/>
  <c r="B4" i="370"/>
  <c r="J11" i="370"/>
  <c r="E11" i="370" s="1"/>
  <c r="N11" i="370" s="1"/>
  <c r="N12" i="370" s="1"/>
  <c r="I15" i="370"/>
  <c r="I16" i="370"/>
  <c r="B3" i="368"/>
  <c r="B4" i="368"/>
  <c r="J11" i="368"/>
  <c r="E11" i="368" s="1"/>
  <c r="N11" i="368" s="1"/>
  <c r="N12" i="368" s="1"/>
  <c r="J12" i="5" s="1"/>
  <c r="I15" i="368"/>
  <c r="I16" i="368"/>
  <c r="B3" i="367"/>
  <c r="B4" i="367"/>
  <c r="J11" i="367"/>
  <c r="E11" i="367" s="1"/>
  <c r="N11" i="367" s="1"/>
  <c r="N12" i="367" s="1"/>
  <c r="J11" i="5" s="1"/>
  <c r="B3" i="366"/>
  <c r="B4" i="366"/>
  <c r="J11" i="366"/>
  <c r="B3" i="364"/>
  <c r="B4" i="364"/>
  <c r="D11" i="364"/>
  <c r="J11" i="364"/>
  <c r="E11" i="364" s="1"/>
  <c r="H15" i="364"/>
  <c r="I15" i="364" s="1"/>
  <c r="I16" i="364"/>
  <c r="H17" i="364"/>
  <c r="I17" i="364" s="1"/>
  <c r="I18" i="364"/>
  <c r="H19" i="364"/>
  <c r="I19" i="364" s="1"/>
  <c r="I20" i="364"/>
  <c r="B1" i="363"/>
  <c r="B3" i="362"/>
  <c r="B4" i="362"/>
  <c r="D11" i="362"/>
  <c r="J11" i="362"/>
  <c r="I15" i="362"/>
  <c r="I16" i="362"/>
  <c r="I17" i="362"/>
  <c r="I18" i="362"/>
  <c r="I19" i="362"/>
  <c r="I20" i="362"/>
  <c r="I21" i="362"/>
  <c r="I22" i="362"/>
  <c r="I23" i="362"/>
  <c r="I24" i="362"/>
  <c r="I25" i="362"/>
  <c r="B10" i="361"/>
  <c r="D10" i="361"/>
  <c r="B11" i="361"/>
  <c r="D11" i="361"/>
  <c r="B12" i="361"/>
  <c r="D12" i="361"/>
  <c r="B13" i="361"/>
  <c r="D13" i="361"/>
  <c r="B14" i="361"/>
  <c r="D14" i="361"/>
  <c r="D15" i="361"/>
  <c r="B16" i="361"/>
  <c r="D16" i="361"/>
  <c r="B17" i="361"/>
  <c r="D17" i="361"/>
  <c r="B18" i="361"/>
  <c r="D18" i="361"/>
  <c r="B19" i="361"/>
  <c r="D19" i="361"/>
  <c r="B20" i="361"/>
  <c r="C20" i="361"/>
  <c r="D20" i="361"/>
  <c r="D24" i="361"/>
  <c r="N24" i="361" s="1"/>
  <c r="N25" i="361"/>
  <c r="N26" i="361"/>
  <c r="I30" i="361"/>
  <c r="I31" i="361"/>
  <c r="I32" i="361"/>
  <c r="I33" i="361"/>
  <c r="I34" i="361"/>
  <c r="I35" i="361"/>
  <c r="I36" i="361"/>
  <c r="I37" i="361"/>
  <c r="I38" i="361"/>
  <c r="I39" i="361"/>
  <c r="I40" i="361"/>
  <c r="I41" i="361"/>
  <c r="I42" i="361"/>
  <c r="I43" i="361"/>
  <c r="I44" i="361"/>
  <c r="I45" i="361"/>
  <c r="I46" i="361"/>
  <c r="I47" i="361"/>
  <c r="I48" i="361"/>
  <c r="I49" i="361"/>
  <c r="I50" i="361"/>
  <c r="I51" i="361"/>
  <c r="D55" i="361"/>
  <c r="J55" i="361" s="1"/>
  <c r="D56" i="361"/>
  <c r="J56" i="361" s="1"/>
  <c r="J57" i="361"/>
  <c r="F61" i="361"/>
  <c r="I61" i="361" s="1"/>
  <c r="I62" i="361" s="1"/>
  <c r="M7" i="5" s="1"/>
  <c r="N11" i="491" l="1"/>
  <c r="N12" i="491" s="1"/>
  <c r="J85" i="5" s="1"/>
  <c r="F20" i="420"/>
  <c r="I20" i="420" s="1"/>
  <c r="I21" i="420" s="1"/>
  <c r="K41" i="5" s="1"/>
  <c r="E18" i="5"/>
  <c r="E17" i="5"/>
  <c r="E16" i="5"/>
  <c r="E15" i="5"/>
  <c r="E14" i="5"/>
  <c r="E13" i="5"/>
  <c r="E12" i="5"/>
  <c r="E11" i="5"/>
  <c r="E10" i="5"/>
  <c r="E9" i="5"/>
  <c r="I17" i="501"/>
  <c r="K91" i="5" s="1"/>
  <c r="N11" i="385"/>
  <c r="N12" i="385" s="1"/>
  <c r="J21" i="5" s="1"/>
  <c r="N11" i="404"/>
  <c r="N12" i="404" s="1"/>
  <c r="J32" i="5" s="1"/>
  <c r="E69" i="5"/>
  <c r="N19" i="448"/>
  <c r="J57" i="5" s="1"/>
  <c r="E11" i="468"/>
  <c r="I17" i="479"/>
  <c r="K78" i="5" s="1"/>
  <c r="H78" i="5" s="1"/>
  <c r="N78" i="5" s="1"/>
  <c r="H14" i="5"/>
  <c r="N14" i="5" s="1"/>
  <c r="I20" i="499"/>
  <c r="K90" i="5" s="1"/>
  <c r="H90" i="5" s="1"/>
  <c r="N90" i="5" s="1"/>
  <c r="N11" i="501"/>
  <c r="N12" i="501" s="1"/>
  <c r="E70" i="5"/>
  <c r="E12" i="418"/>
  <c r="N12" i="418" s="1"/>
  <c r="E12" i="420"/>
  <c r="N12" i="420" s="1"/>
  <c r="N13" i="420" s="1"/>
  <c r="J41" i="5" s="1"/>
  <c r="I31" i="454"/>
  <c r="K62" i="5" s="1"/>
  <c r="I17" i="488"/>
  <c r="K83" i="5" s="1"/>
  <c r="H83" i="5" s="1"/>
  <c r="N83" i="5" s="1"/>
  <c r="N27" i="382"/>
  <c r="J19" i="5" s="1"/>
  <c r="I19" i="461"/>
  <c r="K67" i="5" s="1"/>
  <c r="H67" i="5" s="1"/>
  <c r="N67" i="5" s="1"/>
  <c r="E72" i="5"/>
  <c r="N11" i="362"/>
  <c r="N12" i="362" s="1"/>
  <c r="J8" i="5" s="1"/>
  <c r="N11" i="427"/>
  <c r="N12" i="427" s="1"/>
  <c r="J45" i="5" s="1"/>
  <c r="I19" i="453"/>
  <c r="K61" i="5" s="1"/>
  <c r="H61" i="5" s="1"/>
  <c r="N61" i="5" s="1"/>
  <c r="E11" i="389"/>
  <c r="N11" i="389" s="1"/>
  <c r="N12" i="389" s="1"/>
  <c r="J24" i="5" s="1"/>
  <c r="I17" i="410"/>
  <c r="K36" i="5" s="1"/>
  <c r="H36" i="5" s="1"/>
  <c r="N36" i="5" s="1"/>
  <c r="N11" i="418"/>
  <c r="E11" i="422"/>
  <c r="N2" i="450"/>
  <c r="C11" i="448" s="1"/>
  <c r="E11" i="448" s="1"/>
  <c r="I31" i="457"/>
  <c r="K64" i="5" s="1"/>
  <c r="J59" i="5"/>
  <c r="H59" i="5" s="1"/>
  <c r="N59" i="5" s="1"/>
  <c r="E80" i="5"/>
  <c r="I17" i="370"/>
  <c r="K13" i="5" s="1"/>
  <c r="F15" i="388"/>
  <c r="I15" i="388" s="1"/>
  <c r="I16" i="388" s="1"/>
  <c r="K23" i="5" s="1"/>
  <c r="I17" i="389"/>
  <c r="K24" i="5" s="1"/>
  <c r="F20" i="418"/>
  <c r="I20" i="418" s="1"/>
  <c r="I21" i="418" s="1"/>
  <c r="K40" i="5" s="1"/>
  <c r="E12" i="422"/>
  <c r="N12" i="422" s="1"/>
  <c r="N13" i="422" s="1"/>
  <c r="J42" i="5" s="1"/>
  <c r="N11" i="451"/>
  <c r="N12" i="451" s="1"/>
  <c r="J60" i="5" s="1"/>
  <c r="E83" i="5"/>
  <c r="E85" i="5"/>
  <c r="E88" i="5"/>
  <c r="H26" i="5"/>
  <c r="N26" i="5" s="1"/>
  <c r="E87" i="5"/>
  <c r="H38" i="5"/>
  <c r="N38" i="5" s="1"/>
  <c r="N11" i="494"/>
  <c r="N12" i="494" s="1"/>
  <c r="J87" i="5" s="1"/>
  <c r="E11" i="494"/>
  <c r="E11" i="416"/>
  <c r="N11" i="416"/>
  <c r="E12" i="416"/>
  <c r="N12" i="416" s="1"/>
  <c r="F20" i="416"/>
  <c r="I20" i="416" s="1"/>
  <c r="I21" i="416" s="1"/>
  <c r="K39" i="5" s="1"/>
  <c r="N2" i="435"/>
  <c r="C16" i="424" s="1"/>
  <c r="E16" i="424" s="1"/>
  <c r="J50" i="5"/>
  <c r="H50" i="5" s="1"/>
  <c r="N50" i="5" s="1"/>
  <c r="H58" i="5"/>
  <c r="N58" i="5" s="1"/>
  <c r="N11" i="466"/>
  <c r="N12" i="466" s="1"/>
  <c r="J71" i="5" s="1"/>
  <c r="E11" i="466"/>
  <c r="N2" i="458"/>
  <c r="C10" i="457" s="1"/>
  <c r="E10" i="457" s="1"/>
  <c r="J65" i="5"/>
  <c r="H65" i="5" s="1"/>
  <c r="N65" i="5" s="1"/>
  <c r="I28" i="482"/>
  <c r="K80" i="5" s="1"/>
  <c r="H80" i="5" s="1"/>
  <c r="N80" i="5" s="1"/>
  <c r="M92" i="5"/>
  <c r="E20" i="361"/>
  <c r="N27" i="403"/>
  <c r="J31" i="5" s="1"/>
  <c r="I17" i="412"/>
  <c r="K37" i="5" s="1"/>
  <c r="H37" i="5" s="1"/>
  <c r="N37" i="5" s="1"/>
  <c r="J58" i="424"/>
  <c r="L43" i="5" s="1"/>
  <c r="I23" i="425"/>
  <c r="K44" i="5" s="1"/>
  <c r="H44" i="5" s="1"/>
  <c r="N44" i="5" s="1"/>
  <c r="F15" i="430"/>
  <c r="I15" i="430" s="1"/>
  <c r="I16" i="430" s="1"/>
  <c r="K47" i="5" s="1"/>
  <c r="H47" i="5" s="1"/>
  <c r="N47" i="5" s="1"/>
  <c r="I36" i="462"/>
  <c r="K68" i="5" s="1"/>
  <c r="I19" i="473"/>
  <c r="K75" i="5" s="1"/>
  <c r="H75" i="5" s="1"/>
  <c r="N75" i="5" s="1"/>
  <c r="I17" i="496"/>
  <c r="K88" i="5" s="1"/>
  <c r="J91" i="5"/>
  <c r="E30" i="5"/>
  <c r="E28" i="5"/>
  <c r="E26" i="5"/>
  <c r="E24" i="5"/>
  <c r="E22" i="5"/>
  <c r="E20" i="5"/>
  <c r="J13" i="5"/>
  <c r="N11" i="364"/>
  <c r="N12" i="364" s="1"/>
  <c r="J9" i="5" s="1"/>
  <c r="J58" i="382"/>
  <c r="L19" i="5" s="1"/>
  <c r="J58" i="403"/>
  <c r="L31" i="5" s="1"/>
  <c r="N27" i="424"/>
  <c r="J43" i="5" s="1"/>
  <c r="I22" i="446"/>
  <c r="K56" i="5" s="1"/>
  <c r="H56" i="5" s="1"/>
  <c r="N56" i="5" s="1"/>
  <c r="N18" i="457"/>
  <c r="J64" i="5" s="1"/>
  <c r="J44" i="462"/>
  <c r="L68" i="5" s="1"/>
  <c r="I17" i="466"/>
  <c r="K71" i="5" s="1"/>
  <c r="I18" i="486"/>
  <c r="K82" i="5" s="1"/>
  <c r="H82" i="5" s="1"/>
  <c r="N82" i="5" s="1"/>
  <c r="I17" i="494"/>
  <c r="K87" i="5" s="1"/>
  <c r="N11" i="496"/>
  <c r="N12" i="496" s="1"/>
  <c r="J88" i="5" s="1"/>
  <c r="E11" i="420"/>
  <c r="I31" i="445"/>
  <c r="K55" i="5" s="1"/>
  <c r="I32" i="448"/>
  <c r="K57" i="5" s="1"/>
  <c r="I18" i="477"/>
  <c r="K77" i="5" s="1"/>
  <c r="H77" i="5" s="1"/>
  <c r="N77" i="5" s="1"/>
  <c r="E29" i="5"/>
  <c r="E27" i="5"/>
  <c r="E25" i="5"/>
  <c r="E23" i="5"/>
  <c r="E74" i="5"/>
  <c r="E86" i="5"/>
  <c r="E82" i="5"/>
  <c r="E77" i="5"/>
  <c r="E76" i="5"/>
  <c r="E54" i="5"/>
  <c r="E53" i="5"/>
  <c r="E52" i="5"/>
  <c r="E51" i="5"/>
  <c r="E50" i="5"/>
  <c r="E49" i="5"/>
  <c r="E48" i="5"/>
  <c r="E47" i="5"/>
  <c r="E46" i="5"/>
  <c r="E45" i="5"/>
  <c r="E42" i="5"/>
  <c r="E41" i="5"/>
  <c r="E40" i="5"/>
  <c r="E39" i="5"/>
  <c r="E38" i="5"/>
  <c r="E37" i="5"/>
  <c r="E36" i="5"/>
  <c r="E35" i="5"/>
  <c r="E34" i="5"/>
  <c r="E33" i="5"/>
  <c r="N2" i="430"/>
  <c r="N5" i="430" s="1"/>
  <c r="I16" i="463"/>
  <c r="K69" i="5" s="1"/>
  <c r="N11" i="463"/>
  <c r="N12" i="463" s="1"/>
  <c r="J69" i="5" s="1"/>
  <c r="I21" i="364"/>
  <c r="K9" i="5" s="1"/>
  <c r="I21" i="427"/>
  <c r="K45" i="5" s="1"/>
  <c r="I17" i="431"/>
  <c r="K48" i="5" s="1"/>
  <c r="H48" i="5" s="1"/>
  <c r="N48" i="5" s="1"/>
  <c r="J37" i="457"/>
  <c r="L64" i="5" s="1"/>
  <c r="N13" i="380"/>
  <c r="J18" i="5" s="1"/>
  <c r="I17" i="391"/>
  <c r="K25" i="5" s="1"/>
  <c r="H25" i="5" s="1"/>
  <c r="N25" i="5" s="1"/>
  <c r="F15" i="409"/>
  <c r="I15" i="409" s="1"/>
  <c r="I16" i="409" s="1"/>
  <c r="K35" i="5" s="1"/>
  <c r="H35" i="5" s="1"/>
  <c r="N35" i="5" s="1"/>
  <c r="I17" i="433"/>
  <c r="K49" i="5" s="1"/>
  <c r="H49" i="5" s="1"/>
  <c r="N49" i="5" s="1"/>
  <c r="I17" i="451"/>
  <c r="K60" i="5" s="1"/>
  <c r="J68" i="5"/>
  <c r="N27" i="361"/>
  <c r="J7" i="5" s="1"/>
  <c r="N13" i="378"/>
  <c r="J17" i="5" s="1"/>
  <c r="E11" i="388"/>
  <c r="D11" i="388" s="1"/>
  <c r="N11" i="388" s="1"/>
  <c r="N12" i="388" s="1"/>
  <c r="J23" i="5" s="1"/>
  <c r="J37" i="445"/>
  <c r="L55" i="5" s="1"/>
  <c r="J84" i="5"/>
  <c r="N13" i="376"/>
  <c r="J16" i="5" s="1"/>
  <c r="N18" i="445"/>
  <c r="J55" i="5" s="1"/>
  <c r="N2" i="449"/>
  <c r="N5" i="449" s="1"/>
  <c r="I17" i="459"/>
  <c r="K66" i="5" s="1"/>
  <c r="I30" i="470"/>
  <c r="K73" i="5" s="1"/>
  <c r="I23" i="484"/>
  <c r="K81" i="5" s="1"/>
  <c r="H81" i="5" s="1"/>
  <c r="N81" i="5" s="1"/>
  <c r="I33" i="498"/>
  <c r="K89" i="5" s="1"/>
  <c r="I52" i="361"/>
  <c r="K7" i="5" s="1"/>
  <c r="I26" i="362"/>
  <c r="K8" i="5" s="1"/>
  <c r="I21" i="378"/>
  <c r="K17" i="5" s="1"/>
  <c r="I52" i="382"/>
  <c r="K19" i="5" s="1"/>
  <c r="J58" i="361"/>
  <c r="L7" i="5" s="1"/>
  <c r="I17" i="368"/>
  <c r="K12" i="5" s="1"/>
  <c r="H12" i="5" s="1"/>
  <c r="N12" i="5" s="1"/>
  <c r="I21" i="376"/>
  <c r="K16" i="5" s="1"/>
  <c r="I21" i="385"/>
  <c r="K21" i="5" s="1"/>
  <c r="E11" i="408"/>
  <c r="D11" i="408" s="1"/>
  <c r="N11" i="408" s="1"/>
  <c r="N12" i="408" s="1"/>
  <c r="J34" i="5" s="1"/>
  <c r="F15" i="408"/>
  <c r="I15" i="408" s="1"/>
  <c r="I16" i="408" s="1"/>
  <c r="K34" i="5" s="1"/>
  <c r="N2" i="372"/>
  <c r="N11" i="374"/>
  <c r="F20" i="374"/>
  <c r="I20" i="374" s="1"/>
  <c r="I21" i="374" s="1"/>
  <c r="K15" i="5" s="1"/>
  <c r="E12" i="374"/>
  <c r="N12" i="374" s="1"/>
  <c r="E11" i="374"/>
  <c r="I23" i="383"/>
  <c r="K20" i="5" s="1"/>
  <c r="H20" i="5" s="1"/>
  <c r="N20" i="5" s="1"/>
  <c r="E11" i="387"/>
  <c r="D11" i="387" s="1"/>
  <c r="N11" i="387" s="1"/>
  <c r="N12" i="387" s="1"/>
  <c r="J22" i="5" s="1"/>
  <c r="F15" i="387"/>
  <c r="I15" i="387" s="1"/>
  <c r="I16" i="387" s="1"/>
  <c r="K22" i="5" s="1"/>
  <c r="E11" i="366"/>
  <c r="D11" i="366" s="1"/>
  <c r="N11" i="366" s="1"/>
  <c r="N12" i="366" s="1"/>
  <c r="J10" i="5" s="1"/>
  <c r="F15" i="366"/>
  <c r="I15" i="366" s="1"/>
  <c r="I16" i="366" s="1"/>
  <c r="K10" i="5" s="1"/>
  <c r="I21" i="380"/>
  <c r="K18" i="5" s="1"/>
  <c r="N2" i="393"/>
  <c r="N11" i="395"/>
  <c r="F20" i="395"/>
  <c r="I20" i="395" s="1"/>
  <c r="I21" i="395" s="1"/>
  <c r="K27" i="5" s="1"/>
  <c r="E12" i="395"/>
  <c r="N12" i="395" s="1"/>
  <c r="E11" i="395"/>
  <c r="N11" i="397"/>
  <c r="F20" i="397"/>
  <c r="I20" i="397" s="1"/>
  <c r="I21" i="397" s="1"/>
  <c r="K28" i="5" s="1"/>
  <c r="E12" i="397"/>
  <c r="N12" i="397" s="1"/>
  <c r="E11" i="397"/>
  <c r="N11" i="399"/>
  <c r="F20" i="399"/>
  <c r="I20" i="399" s="1"/>
  <c r="I21" i="399" s="1"/>
  <c r="K29" i="5" s="1"/>
  <c r="E12" i="399"/>
  <c r="N12" i="399" s="1"/>
  <c r="E11" i="399"/>
  <c r="N11" i="401"/>
  <c r="F20" i="401"/>
  <c r="I20" i="401" s="1"/>
  <c r="I21" i="401" s="1"/>
  <c r="K30" i="5" s="1"/>
  <c r="E12" i="401"/>
  <c r="N12" i="401" s="1"/>
  <c r="E11" i="401"/>
  <c r="I52" i="403"/>
  <c r="K31" i="5" s="1"/>
  <c r="I52" i="424"/>
  <c r="K43" i="5" s="1"/>
  <c r="E11" i="429"/>
  <c r="D11" i="429" s="1"/>
  <c r="N11" i="429" s="1"/>
  <c r="N12" i="429" s="1"/>
  <c r="J46" i="5" s="1"/>
  <c r="F15" i="429"/>
  <c r="I15" i="429" s="1"/>
  <c r="I16" i="429" s="1"/>
  <c r="K46" i="5" s="1"/>
  <c r="N11" i="437"/>
  <c r="F20" i="437"/>
  <c r="I20" i="437" s="1"/>
  <c r="I21" i="437" s="1"/>
  <c r="K51" i="5" s="1"/>
  <c r="E12" i="437"/>
  <c r="N12" i="437" s="1"/>
  <c r="E11" i="437"/>
  <c r="N11" i="439"/>
  <c r="F20" i="439"/>
  <c r="I20" i="439" s="1"/>
  <c r="I21" i="439" s="1"/>
  <c r="K52" i="5" s="1"/>
  <c r="E12" i="439"/>
  <c r="N12" i="439" s="1"/>
  <c r="E11" i="439"/>
  <c r="N11" i="441"/>
  <c r="F20" i="441"/>
  <c r="I20" i="441" s="1"/>
  <c r="I21" i="441" s="1"/>
  <c r="K53" i="5" s="1"/>
  <c r="E12" i="441"/>
  <c r="N12" i="441" s="1"/>
  <c r="E11" i="441"/>
  <c r="N11" i="443"/>
  <c r="F20" i="443"/>
  <c r="I20" i="443" s="1"/>
  <c r="I21" i="443" s="1"/>
  <c r="K54" i="5" s="1"/>
  <c r="E12" i="443"/>
  <c r="N12" i="443" s="1"/>
  <c r="E11" i="443"/>
  <c r="I22" i="455"/>
  <c r="K63" i="5" s="1"/>
  <c r="H63" i="5" s="1"/>
  <c r="N63" i="5" s="1"/>
  <c r="F15" i="367"/>
  <c r="I15" i="367" s="1"/>
  <c r="I16" i="367" s="1"/>
  <c r="K11" i="5" s="1"/>
  <c r="H11" i="5" s="1"/>
  <c r="N11" i="5" s="1"/>
  <c r="I26" i="404"/>
  <c r="K32" i="5" s="1"/>
  <c r="I21" i="406"/>
  <c r="K33" i="5" s="1"/>
  <c r="E11" i="406"/>
  <c r="N11" i="406" s="1"/>
  <c r="N12" i="406" s="1"/>
  <c r="J33" i="5" s="1"/>
  <c r="R13" i="406"/>
  <c r="N2" i="414"/>
  <c r="J38" i="448"/>
  <c r="L57" i="5" s="1"/>
  <c r="J37" i="454"/>
  <c r="L62" i="5" s="1"/>
  <c r="J42" i="481"/>
  <c r="L79" i="5" s="1"/>
  <c r="N18" i="454"/>
  <c r="J62" i="5" s="1"/>
  <c r="I29" i="471"/>
  <c r="K74" i="5" s="1"/>
  <c r="H74" i="5" s="1"/>
  <c r="N74" i="5" s="1"/>
  <c r="I23" i="475"/>
  <c r="K76" i="5" s="1"/>
  <c r="H76" i="5" s="1"/>
  <c r="N76" i="5" s="1"/>
  <c r="I15" i="492"/>
  <c r="K86" i="5" s="1"/>
  <c r="H86" i="5" s="1"/>
  <c r="N86" i="5" s="1"/>
  <c r="F20" i="422"/>
  <c r="I20" i="422" s="1"/>
  <c r="I21" i="422" s="1"/>
  <c r="K42" i="5" s="1"/>
  <c r="R13" i="427"/>
  <c r="R14" i="427" s="1"/>
  <c r="I17" i="468"/>
  <c r="K72" i="5" s="1"/>
  <c r="H72" i="5" s="1"/>
  <c r="N72" i="5" s="1"/>
  <c r="I30" i="481"/>
  <c r="K79" i="5" s="1"/>
  <c r="J44" i="490"/>
  <c r="L84" i="5" s="1"/>
  <c r="K85" i="5"/>
  <c r="J41" i="498"/>
  <c r="L89" i="5" s="1"/>
  <c r="N17" i="498"/>
  <c r="J89" i="5" s="1"/>
  <c r="E11" i="459"/>
  <c r="N11" i="459"/>
  <c r="N12" i="459" s="1"/>
  <c r="J66" i="5" s="1"/>
  <c r="I18" i="464"/>
  <c r="K70" i="5" s="1"/>
  <c r="H70" i="5" s="1"/>
  <c r="N70" i="5" s="1"/>
  <c r="J39" i="470"/>
  <c r="L73" i="5" s="1"/>
  <c r="I36" i="490"/>
  <c r="K84" i="5" s="1"/>
  <c r="H60" i="5" l="1"/>
  <c r="N60" i="5" s="1"/>
  <c r="N2" i="479"/>
  <c r="C14" i="470" s="1"/>
  <c r="E14" i="470" s="1"/>
  <c r="H32" i="5"/>
  <c r="N32" i="5" s="1"/>
  <c r="N5" i="435"/>
  <c r="N2" i="404"/>
  <c r="N5" i="404" s="1"/>
  <c r="C13" i="424"/>
  <c r="E13" i="424" s="1"/>
  <c r="C10" i="448"/>
  <c r="E10" i="448" s="1"/>
  <c r="H91" i="5"/>
  <c r="N91" i="5" s="1"/>
  <c r="N2" i="453"/>
  <c r="C13" i="448" s="1"/>
  <c r="E13" i="448" s="1"/>
  <c r="N2" i="501"/>
  <c r="C11" i="498" s="1"/>
  <c r="E11" i="498" s="1"/>
  <c r="H24" i="5"/>
  <c r="N24" i="5" s="1"/>
  <c r="N2" i="482"/>
  <c r="N5" i="482" s="1"/>
  <c r="H9" i="5"/>
  <c r="N9" i="5" s="1"/>
  <c r="N2" i="389"/>
  <c r="N5" i="389" s="1"/>
  <c r="H21" i="5"/>
  <c r="N21" i="5" s="1"/>
  <c r="N2" i="412"/>
  <c r="C15" i="403" s="1"/>
  <c r="E15" i="403" s="1"/>
  <c r="H41" i="5"/>
  <c r="N41" i="5" s="1"/>
  <c r="N2" i="410"/>
  <c r="N5" i="410" s="1"/>
  <c r="N2" i="486"/>
  <c r="N5" i="450"/>
  <c r="H8" i="5"/>
  <c r="N8" i="5" s="1"/>
  <c r="N2" i="499"/>
  <c r="N5" i="499" s="1"/>
  <c r="N2" i="425"/>
  <c r="C10" i="424" s="1"/>
  <c r="E10" i="424" s="1"/>
  <c r="N5" i="458"/>
  <c r="H31" i="5"/>
  <c r="N31" i="5" s="1"/>
  <c r="H22" i="5"/>
  <c r="N22" i="5" s="1"/>
  <c r="H55" i="5"/>
  <c r="N55" i="5" s="1"/>
  <c r="H45" i="5"/>
  <c r="N45" i="5" s="1"/>
  <c r="N13" i="418"/>
  <c r="J40" i="5" s="1"/>
  <c r="H40" i="5" s="1"/>
  <c r="N40" i="5" s="1"/>
  <c r="L92" i="5"/>
  <c r="H66" i="5"/>
  <c r="N66" i="5" s="1"/>
  <c r="N2" i="431"/>
  <c r="N5" i="431" s="1"/>
  <c r="N2" i="391"/>
  <c r="C15" i="382" s="1"/>
  <c r="E15" i="382" s="1"/>
  <c r="H88" i="5"/>
  <c r="N88" i="5" s="1"/>
  <c r="N2" i="455"/>
  <c r="C10" i="454" s="1"/>
  <c r="E10" i="454" s="1"/>
  <c r="E11" i="454" s="1"/>
  <c r="N2" i="454" s="1"/>
  <c r="N5" i="454" s="1"/>
  <c r="N2" i="477"/>
  <c r="N5" i="477" s="1"/>
  <c r="H18" i="5"/>
  <c r="N18" i="5" s="1"/>
  <c r="N2" i="461"/>
  <c r="C12" i="457" s="1"/>
  <c r="E12" i="457" s="1"/>
  <c r="N13" i="416"/>
  <c r="N2" i="416" s="1"/>
  <c r="N5" i="416" s="1"/>
  <c r="N2" i="427"/>
  <c r="N5" i="427" s="1"/>
  <c r="H10" i="5"/>
  <c r="N10" i="5" s="1"/>
  <c r="H23" i="5"/>
  <c r="N23" i="5" s="1"/>
  <c r="N2" i="488"/>
  <c r="N5" i="488" s="1"/>
  <c r="N2" i="494"/>
  <c r="H73" i="5"/>
  <c r="N73" i="5" s="1"/>
  <c r="H89" i="5"/>
  <c r="N89" i="5" s="1"/>
  <c r="H57" i="5"/>
  <c r="N57" i="5" s="1"/>
  <c r="N2" i="496"/>
  <c r="N2" i="388"/>
  <c r="C13" i="382" s="1"/>
  <c r="E13" i="382" s="1"/>
  <c r="K92" i="5"/>
  <c r="N2" i="466"/>
  <c r="H13" i="5"/>
  <c r="N13" i="5" s="1"/>
  <c r="N2" i="492"/>
  <c r="N5" i="492" s="1"/>
  <c r="H85" i="5"/>
  <c r="N85" i="5" s="1"/>
  <c r="N13" i="401"/>
  <c r="J30" i="5" s="1"/>
  <c r="H30" i="5" s="1"/>
  <c r="N30" i="5" s="1"/>
  <c r="N13" i="399"/>
  <c r="J29" i="5" s="1"/>
  <c r="H29" i="5" s="1"/>
  <c r="N29" i="5" s="1"/>
  <c r="N13" i="397"/>
  <c r="J28" i="5" s="1"/>
  <c r="H28" i="5" s="1"/>
  <c r="N28" i="5" s="1"/>
  <c r="N13" i="395"/>
  <c r="J27" i="5" s="1"/>
  <c r="H27" i="5" s="1"/>
  <c r="N27" i="5" s="1"/>
  <c r="H17" i="5"/>
  <c r="N17" i="5" s="1"/>
  <c r="N2" i="370"/>
  <c r="H79" i="5"/>
  <c r="N79" i="5" s="1"/>
  <c r="N2" i="473"/>
  <c r="C11" i="470" s="1"/>
  <c r="E11" i="470" s="1"/>
  <c r="N2" i="471"/>
  <c r="C10" i="470" s="1"/>
  <c r="E10" i="470" s="1"/>
  <c r="N2" i="464"/>
  <c r="N5" i="464" s="1"/>
  <c r="N2" i="446"/>
  <c r="C10" i="445" s="1"/>
  <c r="E10" i="445" s="1"/>
  <c r="E11" i="445" s="1"/>
  <c r="N2" i="445" s="1"/>
  <c r="N5" i="445" s="1"/>
  <c r="H46" i="5"/>
  <c r="N46" i="5" s="1"/>
  <c r="H16" i="5"/>
  <c r="N16" i="5" s="1"/>
  <c r="H42" i="5"/>
  <c r="N42" i="5" s="1"/>
  <c r="H69" i="5"/>
  <c r="N69" i="5" s="1"/>
  <c r="H43" i="5"/>
  <c r="N43" i="5" s="1"/>
  <c r="H19" i="5"/>
  <c r="N19" i="5" s="1"/>
  <c r="H68" i="5"/>
  <c r="N68" i="5" s="1"/>
  <c r="H71" i="5"/>
  <c r="N71" i="5" s="1"/>
  <c r="H62" i="5"/>
  <c r="N62" i="5" s="1"/>
  <c r="H33" i="5"/>
  <c r="N33" i="5" s="1"/>
  <c r="H34" i="5"/>
  <c r="N34" i="5" s="1"/>
  <c r="N2" i="376"/>
  <c r="C18" i="361" s="1"/>
  <c r="E18" i="361" s="1"/>
  <c r="H84" i="5"/>
  <c r="N84" i="5" s="1"/>
  <c r="H7" i="5"/>
  <c r="N7" i="5" s="1"/>
  <c r="N2" i="409"/>
  <c r="H64" i="5"/>
  <c r="N64" i="5" s="1"/>
  <c r="H87" i="5"/>
  <c r="N87" i="5" s="1"/>
  <c r="N2" i="364"/>
  <c r="N5" i="364" s="1"/>
  <c r="N2" i="451"/>
  <c r="N2" i="368"/>
  <c r="N5" i="368" s="1"/>
  <c r="N2" i="433"/>
  <c r="N2" i="463"/>
  <c r="N2" i="484"/>
  <c r="N2" i="406"/>
  <c r="C16" i="403"/>
  <c r="E16" i="403" s="1"/>
  <c r="N5" i="414"/>
  <c r="N2" i="475"/>
  <c r="N5" i="393"/>
  <c r="C16" i="382"/>
  <c r="E16" i="382" s="1"/>
  <c r="N2" i="366"/>
  <c r="N2" i="387"/>
  <c r="N2" i="408"/>
  <c r="N2" i="367"/>
  <c r="N2" i="385"/>
  <c r="N13" i="374"/>
  <c r="J15" i="5" s="1"/>
  <c r="N5" i="391"/>
  <c r="N2" i="362"/>
  <c r="N2" i="491"/>
  <c r="N5" i="446"/>
  <c r="N13" i="443"/>
  <c r="J54" i="5" s="1"/>
  <c r="H54" i="5" s="1"/>
  <c r="N54" i="5" s="1"/>
  <c r="N13" i="441"/>
  <c r="J53" i="5" s="1"/>
  <c r="H53" i="5" s="1"/>
  <c r="N53" i="5" s="1"/>
  <c r="N13" i="439"/>
  <c r="J52" i="5" s="1"/>
  <c r="H52" i="5" s="1"/>
  <c r="N52" i="5" s="1"/>
  <c r="N13" i="437"/>
  <c r="J51" i="5" s="1"/>
  <c r="H51" i="5" s="1"/>
  <c r="N51" i="5" s="1"/>
  <c r="N2" i="429"/>
  <c r="N2" i="422"/>
  <c r="N2" i="378"/>
  <c r="N5" i="372"/>
  <c r="C16" i="361"/>
  <c r="E16" i="361" s="1"/>
  <c r="N2" i="383"/>
  <c r="N2" i="459"/>
  <c r="N2" i="468"/>
  <c r="N2" i="420"/>
  <c r="N5" i="494" l="1"/>
  <c r="C12" i="490"/>
  <c r="E12" i="490" s="1"/>
  <c r="N5" i="496"/>
  <c r="C13" i="490"/>
  <c r="E13" i="490" s="1"/>
  <c r="L95" i="5"/>
  <c r="C13" i="481"/>
  <c r="E13" i="481" s="1"/>
  <c r="N5" i="479"/>
  <c r="C10" i="481"/>
  <c r="E10" i="481" s="1"/>
  <c r="C10" i="403"/>
  <c r="E10" i="403" s="1"/>
  <c r="N5" i="453"/>
  <c r="C14" i="403"/>
  <c r="E14" i="403" s="1"/>
  <c r="N5" i="501"/>
  <c r="C11" i="424"/>
  <c r="E11" i="424" s="1"/>
  <c r="C10" i="498"/>
  <c r="E10" i="498" s="1"/>
  <c r="E12" i="498" s="1"/>
  <c r="N2" i="498" s="1"/>
  <c r="N5" i="498" s="1"/>
  <c r="N5" i="412"/>
  <c r="C14" i="382"/>
  <c r="E14" i="382" s="1"/>
  <c r="C11" i="490"/>
  <c r="E11" i="490" s="1"/>
  <c r="J39" i="5"/>
  <c r="H39" i="5" s="1"/>
  <c r="N39" i="5" s="1"/>
  <c r="N5" i="388"/>
  <c r="N2" i="418"/>
  <c r="N5" i="425"/>
  <c r="N5" i="455"/>
  <c r="C14" i="424"/>
  <c r="E14" i="424" s="1"/>
  <c r="N5" i="461"/>
  <c r="N2" i="399"/>
  <c r="N5" i="399" s="1"/>
  <c r="N5" i="486"/>
  <c r="C12" i="481"/>
  <c r="E12" i="481" s="1"/>
  <c r="N2" i="397"/>
  <c r="N5" i="397" s="1"/>
  <c r="C14" i="361"/>
  <c r="E14" i="361" s="1"/>
  <c r="N5" i="471"/>
  <c r="C13" i="470"/>
  <c r="E13" i="470" s="1"/>
  <c r="N2" i="395"/>
  <c r="N5" i="395" s="1"/>
  <c r="N5" i="376"/>
  <c r="N2" i="401"/>
  <c r="N5" i="401" s="1"/>
  <c r="C13" i="462"/>
  <c r="E13" i="462" s="1"/>
  <c r="N5" i="466"/>
  <c r="C11" i="462"/>
  <c r="E11" i="462" s="1"/>
  <c r="N5" i="370"/>
  <c r="C15" i="361"/>
  <c r="E15" i="361" s="1"/>
  <c r="C11" i="361"/>
  <c r="E11" i="361" s="1"/>
  <c r="N5" i="473"/>
  <c r="N5" i="409"/>
  <c r="C13" i="403"/>
  <c r="E13" i="403" s="1"/>
  <c r="C17" i="403"/>
  <c r="E17" i="403" s="1"/>
  <c r="H15" i="5"/>
  <c r="N15" i="5" s="1"/>
  <c r="C11" i="481"/>
  <c r="E11" i="481" s="1"/>
  <c r="N5" i="484"/>
  <c r="N5" i="433"/>
  <c r="C15" i="424"/>
  <c r="E15" i="424" s="1"/>
  <c r="C10" i="462"/>
  <c r="E10" i="462" s="1"/>
  <c r="N5" i="463"/>
  <c r="C12" i="448"/>
  <c r="E12" i="448" s="1"/>
  <c r="E14" i="448" s="1"/>
  <c r="N2" i="448" s="1"/>
  <c r="N5" i="448" s="1"/>
  <c r="N5" i="451"/>
  <c r="N2" i="437"/>
  <c r="C11" i="457"/>
  <c r="E11" i="457" s="1"/>
  <c r="E13" i="457" s="1"/>
  <c r="N2" i="457" s="1"/>
  <c r="N5" i="457" s="1"/>
  <c r="N5" i="459"/>
  <c r="N5" i="422"/>
  <c r="C20" i="403"/>
  <c r="E20" i="403" s="1"/>
  <c r="N2" i="439"/>
  <c r="C12" i="470"/>
  <c r="E12" i="470" s="1"/>
  <c r="N5" i="475"/>
  <c r="C12" i="361"/>
  <c r="E12" i="361" s="1"/>
  <c r="N5" i="366"/>
  <c r="N5" i="383"/>
  <c r="C10" i="382"/>
  <c r="E10" i="382" s="1"/>
  <c r="N2" i="441"/>
  <c r="N2" i="374"/>
  <c r="N5" i="367"/>
  <c r="C13" i="361"/>
  <c r="E13" i="361" s="1"/>
  <c r="N5" i="387"/>
  <c r="C12" i="382"/>
  <c r="E12" i="382" s="1"/>
  <c r="N5" i="406"/>
  <c r="C11" i="403"/>
  <c r="E11" i="403" s="1"/>
  <c r="N5" i="378"/>
  <c r="C19" i="361"/>
  <c r="E19" i="361" s="1"/>
  <c r="N5" i="408"/>
  <c r="C12" i="403"/>
  <c r="E12" i="403" s="1"/>
  <c r="C18" i="382"/>
  <c r="E18" i="382" s="1"/>
  <c r="N5" i="420"/>
  <c r="C19" i="403"/>
  <c r="E19" i="403" s="1"/>
  <c r="N5" i="468"/>
  <c r="C12" i="462"/>
  <c r="E12" i="462" s="1"/>
  <c r="N5" i="429"/>
  <c r="C12" i="424"/>
  <c r="E12" i="424" s="1"/>
  <c r="N2" i="443"/>
  <c r="N5" i="491"/>
  <c r="C10" i="490"/>
  <c r="E10" i="490" s="1"/>
  <c r="N5" i="362"/>
  <c r="C10" i="361"/>
  <c r="E10" i="361" s="1"/>
  <c r="C11" i="382"/>
  <c r="E11" i="382" s="1"/>
  <c r="N5" i="385"/>
  <c r="E14" i="490" l="1"/>
  <c r="E14" i="481"/>
  <c r="N2" i="481" s="1"/>
  <c r="N5" i="481" s="1"/>
  <c r="C17" i="382"/>
  <c r="E17" i="382" s="1"/>
  <c r="J92" i="5"/>
  <c r="N92" i="5"/>
  <c r="F96" i="5" s="1"/>
  <c r="F98" i="5" s="1"/>
  <c r="F99" i="5" s="1"/>
  <c r="C20" i="382"/>
  <c r="E20" i="382" s="1"/>
  <c r="N5" i="418"/>
  <c r="C18" i="403"/>
  <c r="E18" i="403" s="1"/>
  <c r="C19" i="382"/>
  <c r="E19" i="382" s="1"/>
  <c r="E14" i="462"/>
  <c r="N2" i="462" s="1"/>
  <c r="N5" i="462" s="1"/>
  <c r="E15" i="470"/>
  <c r="L2" i="470" s="1"/>
  <c r="L5" i="470" s="1"/>
  <c r="E21" i="403"/>
  <c r="N2" i="403" s="1"/>
  <c r="N5" i="403" s="1"/>
  <c r="N5" i="439"/>
  <c r="C18" i="424"/>
  <c r="E18" i="424" s="1"/>
  <c r="N5" i="443"/>
  <c r="C20" i="424"/>
  <c r="E20" i="424" s="1"/>
  <c r="N5" i="441"/>
  <c r="C19" i="424"/>
  <c r="E19" i="424" s="1"/>
  <c r="N5" i="374"/>
  <c r="C17" i="361"/>
  <c r="E17" i="361" s="1"/>
  <c r="E21" i="361" s="1"/>
  <c r="N2" i="361" s="1"/>
  <c r="N5" i="361" s="1"/>
  <c r="E21" i="382"/>
  <c r="N2" i="382" s="1"/>
  <c r="N5" i="382" s="1"/>
  <c r="N5" i="437"/>
  <c r="C17" i="424"/>
  <c r="E17" i="424" s="1"/>
  <c r="N2" i="490" l="1"/>
  <c r="N5" i="490" s="1"/>
  <c r="E21" i="424"/>
  <c r="N2" i="424" s="1"/>
  <c r="N5" i="424" s="1"/>
  <c r="O1" i="5" l="1"/>
</calcChain>
</file>

<file path=xl/sharedStrings.xml><?xml version="1.0" encoding="utf-8"?>
<sst xmlns="http://schemas.openxmlformats.org/spreadsheetml/2006/main" count="6782" uniqueCount="561">
  <si>
    <t>University</t>
  </si>
  <si>
    <t>Ecole Centrale de Lyon</t>
  </si>
  <si>
    <t>Back to BOM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</si>
  <si>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</si>
  <si>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</si>
  <si>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</si>
  <si>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</si>
  <si>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</si>
  <si>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</si>
  <si>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</si>
  <si>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</si>
  <si>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</si>
  <si>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</si>
  <si>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</si>
  <si>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</si>
  <si>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</si>
  <si>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</si>
  <si>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</si>
  <si>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</si>
  <si>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</si>
  <si>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</si>
  <si>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Process</t>
  </si>
  <si>
    <t>Use</t>
  </si>
  <si>
    <t>UnitCost</t>
  </si>
  <si>
    <t>Unit</t>
  </si>
  <si>
    <t>Multiplier</t>
  </si>
  <si>
    <t>Mult. Val.</t>
  </si>
  <si>
    <t>Assemble, 1 kg, Loose</t>
  </si>
  <si>
    <t>Ratchet &lt;= 25.4 mm</t>
  </si>
  <si>
    <t>Reaction Tool &lt;= 25.4 mm</t>
  </si>
  <si>
    <t>Fastener</t>
  </si>
  <si>
    <t>Size1</t>
  </si>
  <si>
    <t>Unit1</t>
  </si>
  <si>
    <t>Size2</t>
  </si>
  <si>
    <t>Unit2</t>
  </si>
  <si>
    <t>mm</t>
  </si>
  <si>
    <t>Nut, Grade 8.8 (SAE 5)</t>
  </si>
  <si>
    <t>Washer, Grade 8.8 (SAE 5)</t>
  </si>
  <si>
    <t>Material</t>
  </si>
  <si>
    <t>Area Name</t>
  </si>
  <si>
    <t>Area</t>
  </si>
  <si>
    <t>Length</t>
  </si>
  <si>
    <t>Density</t>
  </si>
  <si>
    <t>kg</t>
  </si>
  <si>
    <t>Adhesive</t>
  </si>
  <si>
    <t>Drilled holes &lt; 25.4 mm dia.</t>
  </si>
  <si>
    <t>Hole</t>
  </si>
  <si>
    <t>Total Vehicle Cost</t>
  </si>
  <si>
    <t>Competition Code</t>
  </si>
  <si>
    <t>FSAEI</t>
  </si>
  <si>
    <t>Year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</si>
  <si>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</si>
  <si>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</si>
  <si>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</si>
  <si>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</si>
  <si>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</si>
  <si>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</si>
  <si>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</si>
  <si>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</si>
  <si>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</si>
  <si>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</si>
  <si>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</si>
  <si>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</si>
  <si>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</si>
  <si>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</si>
  <si>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</si>
  <si>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point</t>
  </si>
  <si>
    <t>Welds - Welding Fixture</t>
  </si>
  <si>
    <t>FractionIncluded</t>
  </si>
  <si>
    <t>PVF</t>
  </si>
  <si>
    <t>Tooling</t>
  </si>
  <si>
    <t>Bolt,Grade 8.8 (SAE)</t>
  </si>
  <si>
    <t>unit</t>
  </si>
  <si>
    <t>m^2</t>
  </si>
  <si>
    <t>Aerosol Apply</t>
  </si>
  <si>
    <t>Paint</t>
  </si>
  <si>
    <t>cm</t>
  </si>
  <si>
    <t>Tube cut</t>
  </si>
  <si>
    <t>Steel, Alloy</t>
  </si>
  <si>
    <t>cm^3</t>
  </si>
  <si>
    <t>Machining</t>
  </si>
  <si>
    <t>Machining Setup, Install and remove</t>
  </si>
  <si>
    <t>hole</t>
  </si>
  <si>
    <t>Rectangular area</t>
  </si>
  <si>
    <t>Drawing</t>
  </si>
  <si>
    <t>Bolt, Grade 8.8 (SAE 5)</t>
  </si>
  <si>
    <t>Weld</t>
  </si>
  <si>
    <t>Machining Setup, Change</t>
  </si>
  <si>
    <t>Drawing part :</t>
  </si>
  <si>
    <t xml:space="preserve">Drawing part : </t>
  </si>
  <si>
    <t>bend</t>
  </si>
  <si>
    <t>Sheet metal bends</t>
  </si>
  <si>
    <t>Laser cut</t>
  </si>
  <si>
    <t>Material - Steel</t>
  </si>
  <si>
    <t>Laser Cut</t>
  </si>
  <si>
    <t>Material -Steel</t>
  </si>
  <si>
    <t>Nut, Grade 8,8 (SAE 5)</t>
  </si>
  <si>
    <t>Assemble, 1kg, Loose</t>
  </si>
  <si>
    <t>Main shape contouring</t>
  </si>
  <si>
    <t>Stock material for part</t>
  </si>
  <si>
    <t xml:space="preserve">Machining </t>
  </si>
  <si>
    <t>Hand - Start Only</t>
  </si>
  <si>
    <t>Assemble, 1 kg, Line-on-Line</t>
  </si>
  <si>
    <t>Setup for machining</t>
  </si>
  <si>
    <t>Material - Aluminium</t>
  </si>
  <si>
    <t>Material - Plastic</t>
  </si>
  <si>
    <t>Suspension &amp; Shocks</t>
  </si>
  <si>
    <t>Wheels &amp; Tires</t>
  </si>
  <si>
    <t>Bolt, Grade 8,8 (SAE 5)</t>
  </si>
  <si>
    <t>Washer, Grade 8,8 (SAE 5)</t>
  </si>
  <si>
    <t>Steel, Mild</t>
  </si>
  <si>
    <t>Machining Setup, Install and Remove</t>
  </si>
  <si>
    <t>Steel, Mild (per kg)</t>
  </si>
  <si>
    <t>Brush Apply</t>
  </si>
  <si>
    <t>Wrench &lt;= 25.4 mm</t>
  </si>
  <si>
    <t>Stock for the part</t>
  </si>
  <si>
    <t xml:space="preserve">Paint </t>
  </si>
  <si>
    <t>2 parts made from a single setup</t>
  </si>
  <si>
    <t>Carbon Fiber, 1 Ply</t>
  </si>
  <si>
    <t>Stock</t>
  </si>
  <si>
    <t>Lamination, Fillament Wirring</t>
  </si>
  <si>
    <t>Tube Lamination</t>
  </si>
  <si>
    <t>Installation of the item 10 for laser cut</t>
  </si>
  <si>
    <t>To apply red paint</t>
  </si>
  <si>
    <t>This part is Welded on the frame</t>
  </si>
  <si>
    <t>Spring</t>
  </si>
  <si>
    <t>Material removal</t>
  </si>
  <si>
    <t>Rod End, Industrial</t>
  </si>
  <si>
    <t>Right-hand rod end for pushrod extremities</t>
  </si>
  <si>
    <t>Balls Diameter</t>
  </si>
  <si>
    <t>Left-hand rod end for pushrod extremities</t>
  </si>
  <si>
    <t>Hand Finish - Surface Preperation</t>
  </si>
  <si>
    <t>Solvent degreasing  on carbon tube</t>
  </si>
  <si>
    <t>cm²</t>
  </si>
  <si>
    <t>Put a nut on the rod end</t>
  </si>
  <si>
    <t>Hand, Loose &lt;= 25.4 mm</t>
  </si>
  <si>
    <t>Thighten the M8 nuts</t>
  </si>
  <si>
    <t>Reaction tool &lt;= 25.4 mm</t>
  </si>
  <si>
    <t>Put the spacers of the rocker in place</t>
  </si>
  <si>
    <t>Put the washers of the rocker in place</t>
  </si>
  <si>
    <t>Put the spacers of the A-arm in place</t>
  </si>
  <si>
    <t>Put the washers of the A-arm in place</t>
  </si>
  <si>
    <t>Put the nuts into the bolts</t>
  </si>
  <si>
    <t>To tighten the rod ends</t>
  </si>
  <si>
    <t>To tighten the bolts</t>
  </si>
  <si>
    <t>Round area, diameter 16x2 mm</t>
  </si>
  <si>
    <t>Aluminium, Premium (per kg)</t>
  </si>
  <si>
    <t>cylinder</t>
  </si>
  <si>
    <t>Round area diam. 18mm</t>
  </si>
  <si>
    <t>Machining setup, change</t>
  </si>
  <si>
    <t>Setup for machining process</t>
  </si>
  <si>
    <t>Drawing :</t>
  </si>
  <si>
    <t>Spacer</t>
  </si>
  <si>
    <t>Kg</t>
  </si>
  <si>
    <t>Cylinder face</t>
  </si>
  <si>
    <t>Aerosol apply</t>
  </si>
  <si>
    <t>m²</t>
  </si>
  <si>
    <t>Material for part</t>
  </si>
  <si>
    <t>Aluminium, Normal</t>
  </si>
  <si>
    <t>Ratchet &lt;= 25,4mm</t>
  </si>
  <si>
    <t>2 parts made from a single machine setup</t>
  </si>
  <si>
    <t>Weld - Round Tubing</t>
  </si>
  <si>
    <t>Raw material</t>
  </si>
  <si>
    <t>Aluminium</t>
  </si>
  <si>
    <t>Steel</t>
  </si>
  <si>
    <t>Aluminium, Premium</t>
  </si>
  <si>
    <t>Tapping holes</t>
  </si>
  <si>
    <t>Material-Steel</t>
  </si>
  <si>
    <t>Assemble, 5kg, Line-on-Line</t>
  </si>
  <si>
    <t>Main part of the assembly</t>
  </si>
  <si>
    <t>Setup for turning</t>
  </si>
  <si>
    <t>Change the turning setup</t>
  </si>
  <si>
    <t>Milling</t>
  </si>
  <si>
    <t>one setup for 2 pieces</t>
  </si>
  <si>
    <t>Rear Pushrod</t>
  </si>
  <si>
    <t>Rear rocker mount</t>
  </si>
  <si>
    <t>Sheets of metal for rocker</t>
  </si>
  <si>
    <t>Rocker bushing</t>
  </si>
  <si>
    <t>Rear Bell Cranck</t>
  </si>
  <si>
    <t>Front rocker mount</t>
  </si>
  <si>
    <t>Front Bell Cranck</t>
  </si>
  <si>
    <t>Rocker spacer</t>
  </si>
  <si>
    <t>SU A0500</t>
  </si>
  <si>
    <t>Welding processes</t>
  </si>
  <si>
    <t>A-Arm Fixing Washers</t>
  </si>
  <si>
    <r>
      <t>Washe</t>
    </r>
    <r>
      <rPr>
        <sz val="11"/>
        <color theme="1"/>
        <rFont val="Calibri"/>
        <family val="2"/>
        <scheme val="minor"/>
      </rPr>
      <t>r, Grade 8,8 (SAE 5)</t>
    </r>
  </si>
  <si>
    <t>A-Arm Fixing Nuts</t>
  </si>
  <si>
    <r>
      <t>Nut,</t>
    </r>
    <r>
      <rPr>
        <sz val="11"/>
        <color theme="1"/>
        <rFont val="Calibri"/>
        <family val="2"/>
        <scheme val="minor"/>
      </rPr>
      <t xml:space="preserve"> Grade 8,8 (SAE 5)</t>
    </r>
  </si>
  <si>
    <t>A-Arm Fixing Bolts on Frame Side</t>
  </si>
  <si>
    <r>
      <t>Bo</t>
    </r>
    <r>
      <rPr>
        <sz val="11"/>
        <color theme="1"/>
        <rFont val="Calibri"/>
        <family val="2"/>
        <scheme val="minor"/>
      </rPr>
      <t>lt, Grade 8,8 (SAE 5)</t>
    </r>
  </si>
  <si>
    <t>M8 nut blocking</t>
  </si>
  <si>
    <t>Reaction tool &lt;=25,4mm</t>
  </si>
  <si>
    <t>M8 bolts installation</t>
  </si>
  <si>
    <t>Washers installation</t>
  </si>
  <si>
    <t>Assemble, 1kg, Line on line</t>
  </si>
  <si>
    <t>Spacers installation</t>
  </si>
  <si>
    <t>A-Arm Positionning</t>
  </si>
  <si>
    <t>Assemble, 1kg, loose</t>
  </si>
  <si>
    <t>Steel mounts painting</t>
  </si>
  <si>
    <t>Steel mounts welding</t>
  </si>
  <si>
    <t>Repeat 3</t>
  </si>
  <si>
    <t>Bearing in Insert Bores</t>
  </si>
  <si>
    <t>Glue applying on bearing bores</t>
  </si>
  <si>
    <t>Solvent degreasing  on bearing bores</t>
  </si>
  <si>
    <t>Repeat 2</t>
  </si>
  <si>
    <t>Outboard A-arm Insert in Carbon Tube with Inner Bearing support</t>
  </si>
  <si>
    <t>Glue applying on Outboard A-arm Inserts</t>
  </si>
  <si>
    <t>Solvent degreasing  on Outboard A-arm Insert</t>
  </si>
  <si>
    <t>Inner Bearing support in Carbon Tube</t>
  </si>
  <si>
    <t xml:space="preserve">Glue applying on Inner Bearing support </t>
  </si>
  <si>
    <t>Solvent degreasing  on Inner Bearing support</t>
  </si>
  <si>
    <t>Outboard A-arm Insert in Upper front bearing support</t>
  </si>
  <si>
    <t>Solvent degreasing  on Outboard A-arm insert</t>
  </si>
  <si>
    <t>Glue applying on on Upper Front Bearing Support</t>
  </si>
  <si>
    <t>Solvent degreasing  on Upper Front Bearing Support</t>
  </si>
  <si>
    <t>Epoxy resin for Tube/insert assembly – Cost Included in Processes</t>
  </si>
  <si>
    <t>Glue for Ball Joint – Cost Included in Processes</t>
  </si>
  <si>
    <t>Sperical bearing</t>
  </si>
  <si>
    <t>Spacer 2</t>
  </si>
  <si>
    <t>SU A0100</t>
  </si>
  <si>
    <t>Upper Front A-arm</t>
  </si>
  <si>
    <t>Suspension rod support drilling</t>
  </si>
  <si>
    <t>Drilled holes &lt; 25.4 mm</t>
  </si>
  <si>
    <t>Suspension rod support machining</t>
  </si>
  <si>
    <t>Angle and bottom of the main hole machining</t>
  </si>
  <si>
    <t>Second tube hole machining</t>
  </si>
  <si>
    <t>First tube hole machining</t>
  </si>
  <si>
    <t>Main shape
contouring and top of the main hole machining</t>
  </si>
  <si>
    <t>Upper face</t>
  </si>
  <si>
    <t>Aluminum, Premium</t>
  </si>
  <si>
    <t>SU_01001</t>
  </si>
  <si>
    <t>Upper Front Bearing Support</t>
  </si>
  <si>
    <t>Hole machining</t>
  </si>
  <si>
    <t>16 parts from a single setup</t>
  </si>
  <si>
    <t>Sides machining</t>
  </si>
  <si>
    <t>Main shape
machining</t>
  </si>
  <si>
    <t>Cylinder face area</t>
  </si>
  <si>
    <t>SU_01002</t>
  </si>
  <si>
    <t>Inner Bearing Support</t>
  </si>
  <si>
    <t>tube face</t>
  </si>
  <si>
    <t>m^3</t>
  </si>
  <si>
    <t>SU_01003</t>
  </si>
  <si>
    <t>Upper Front A-arm tube (Front)  Carbon Fiber Tube</t>
  </si>
  <si>
    <t>SU_01004</t>
  </si>
  <si>
    <t>Upper Front A-arm tube (Back)  Carbon Fiber Tube</t>
  </si>
  <si>
    <t>2 parts from a single setup</t>
  </si>
  <si>
    <t>Mild Steel</t>
  </si>
  <si>
    <t>SU_01005</t>
  </si>
  <si>
    <t>Spacer 1</t>
  </si>
  <si>
    <t>Same as SU_0*_006 (*=1,…,4) and SU_09_003</t>
  </si>
  <si>
    <t>SU_01006</t>
  </si>
  <si>
    <t>Saw or tubing cut</t>
  </si>
  <si>
    <t>Round area diam. 12mm</t>
  </si>
  <si>
    <t>SU_01007</t>
  </si>
  <si>
    <t>Outboard A-arm Insert</t>
  </si>
  <si>
    <t>Tubing cavity</t>
  </si>
  <si>
    <t>SU_01008</t>
  </si>
  <si>
    <t>Front up bracket</t>
  </si>
  <si>
    <t>SU_01009</t>
  </si>
  <si>
    <t>Front down bracket</t>
  </si>
  <si>
    <t>SU_01010</t>
  </si>
  <si>
    <t>Rear up bracket</t>
  </si>
  <si>
    <t>SU_01011</t>
  </si>
  <si>
    <t>Rear down bracket</t>
  </si>
  <si>
    <t>SU A0200</t>
  </si>
  <si>
    <t>Lower Front A-arm</t>
  </si>
  <si>
    <t>Bottom side and hole machining</t>
  </si>
  <si>
    <t>Main shape contouring and top side machining</t>
  </si>
  <si>
    <t>Rectangular area 64x36mm</t>
  </si>
  <si>
    <t>Insert</t>
  </si>
  <si>
    <t>SU 02001</t>
  </si>
  <si>
    <t>Lower Front Bearing Support</t>
  </si>
  <si>
    <t>SU 02002</t>
  </si>
  <si>
    <t>SU_02002</t>
  </si>
  <si>
    <t>SU_02003</t>
  </si>
  <si>
    <t>Lower Front A-arm tube (Front)  Carbon Fiber Tube</t>
  </si>
  <si>
    <t>SU_02004</t>
  </si>
  <si>
    <t>Lower Front A-arm tube (Back)  Carbon Fiber Tube</t>
  </si>
  <si>
    <t>SU_02005</t>
  </si>
  <si>
    <t>SU_02006</t>
  </si>
  <si>
    <t>SU_02007</t>
  </si>
  <si>
    <t>Rectangular area 48x24 mm</t>
  </si>
  <si>
    <t>SU_02008</t>
  </si>
  <si>
    <t>Rectangular area 68x22mm</t>
  </si>
  <si>
    <t>SU_02009</t>
  </si>
  <si>
    <t>Installation item 10 for laser cut</t>
  </si>
  <si>
    <t>Rectangular area 40x22mm</t>
  </si>
  <si>
    <t>SU_02010</t>
  </si>
  <si>
    <t>Rear Up bracket</t>
  </si>
  <si>
    <t>SU_02011</t>
  </si>
  <si>
    <t>SU A0300</t>
  </si>
  <si>
    <t>Upper Back A-arm</t>
  </si>
  <si>
    <t>Main shape contouring and top of the main hole machining</t>
  </si>
  <si>
    <t>SU 03001</t>
  </si>
  <si>
    <t>Upper Back Bearing Support</t>
  </si>
  <si>
    <t>SU 03002</t>
  </si>
  <si>
    <t>SU 03003</t>
  </si>
  <si>
    <t>Upper Back A-arm tube (Front)  Carbon Fiber Tube</t>
  </si>
  <si>
    <t>SU 03004</t>
  </si>
  <si>
    <t>Upper Back A-arm tube (Back)  Carbon Fiber Tube</t>
  </si>
  <si>
    <t>Same setup for 2 parts</t>
  </si>
  <si>
    <t>SU 03005</t>
  </si>
  <si>
    <t>SU 03006</t>
  </si>
  <si>
    <t>=SU_03006</t>
  </si>
  <si>
    <t>SU 03007</t>
  </si>
  <si>
    <t>Rectangular area 83x22 mm</t>
  </si>
  <si>
    <t>SU 03008</t>
  </si>
  <si>
    <t>SU_03008</t>
  </si>
  <si>
    <t>Rectangular area 80x22 mm</t>
  </si>
  <si>
    <t>SU 03009</t>
  </si>
  <si>
    <t>SU_03009</t>
  </si>
  <si>
    <t>Rectangular area 31x22mm</t>
  </si>
  <si>
    <t>SU 03010</t>
  </si>
  <si>
    <t>SU_03010</t>
  </si>
  <si>
    <t>Rectangular area 55x22 mm</t>
  </si>
  <si>
    <t>SU 03011</t>
  </si>
  <si>
    <t>SU_03011</t>
  </si>
  <si>
    <t>SU A0400</t>
  </si>
  <si>
    <t>Lower Back A-arm</t>
  </si>
  <si>
    <t>Rectangular area 65x42mm</t>
  </si>
  <si>
    <t>SU 04001</t>
  </si>
  <si>
    <t>Lower Back Bearing Support</t>
  </si>
  <si>
    <t>SU_04001</t>
  </si>
  <si>
    <t xml:space="preserve"> Aluminium</t>
  </si>
  <si>
    <t>SU_04002</t>
  </si>
  <si>
    <t>SU_04003</t>
  </si>
  <si>
    <t>Lower Back A-arm tube (Front)  Carbon Fiber Tube</t>
  </si>
  <si>
    <t>SU_04004</t>
  </si>
  <si>
    <t>Lower Back A-arm tube (Back)  Carbon Fiber Tube</t>
  </si>
  <si>
    <t>SU_04005</t>
  </si>
  <si>
    <t>SU_04006</t>
  </si>
  <si>
    <t>SU_04007</t>
  </si>
  <si>
    <t>Rectangular area 50x22mm</t>
  </si>
  <si>
    <t>SU 04008</t>
  </si>
  <si>
    <t>SU_04008</t>
  </si>
  <si>
    <t>Rectangular area 51x22mm</t>
  </si>
  <si>
    <t>SU 04009</t>
  </si>
  <si>
    <t>SU_04009</t>
  </si>
  <si>
    <t>Rectangular area 72x38mm</t>
  </si>
  <si>
    <t>SU 04010</t>
  </si>
  <si>
    <t>SU_04010</t>
  </si>
  <si>
    <t>Rectangular area 72x46mm</t>
  </si>
  <si>
    <t>SU 04011</t>
  </si>
  <si>
    <t>SU_04011</t>
  </si>
  <si>
    <t>Welding of the mount</t>
  </si>
  <si>
    <t>Bolt Damper Öhlins TTX25 MkII on Shock Front Bracket</t>
  </si>
  <si>
    <t>Bolt damper to shock front bracket</t>
  </si>
  <si>
    <t>Put the damper in place</t>
  </si>
  <si>
    <t>Insert the bushings in the damper extremity</t>
  </si>
  <si>
    <t>Wrench the spring in the damper</t>
  </si>
  <si>
    <t>Wrench &gt; 25.4 mm</t>
  </si>
  <si>
    <t xml:space="preserve">Insert the spring in the damper </t>
  </si>
  <si>
    <t>Painting the suspension mount</t>
  </si>
  <si>
    <t>Weldind shock front bracket with the frame</t>
  </si>
  <si>
    <t>Shock Front Bracket red paint</t>
  </si>
  <si>
    <t>Bushing, Student Built</t>
  </si>
  <si>
    <t>Shock Front Bracket</t>
  </si>
  <si>
    <t>Front suspension, right and left are symetric</t>
  </si>
  <si>
    <t>Front suspension</t>
  </si>
  <si>
    <t>Material Removal</t>
  </si>
  <si>
    <t>Machining Setup, change</t>
  </si>
  <si>
    <t>circle area pi*0,0155²</t>
  </si>
  <si>
    <t>Suspension bracket</t>
  </si>
  <si>
    <t>SU 05001</t>
  </si>
  <si>
    <t>SU_05001</t>
  </si>
  <si>
    <t>Welding process for rocker mount</t>
  </si>
  <si>
    <t>Bolt rocker on its mount</t>
  </si>
  <si>
    <t>Put the nuts into the bolt</t>
  </si>
  <si>
    <t>Bolt rocker into rocker mount</t>
  </si>
  <si>
    <t>Put the previous assembly in place</t>
  </si>
  <si>
    <t xml:space="preserve">Insert 2 busher into the rocker and the rocker spacer </t>
  </si>
  <si>
    <t>Painting the rocker in black</t>
  </si>
  <si>
    <t>Painting the rocker mount in red</t>
  </si>
  <si>
    <t>Welding the rocker mount on the chassis</t>
  </si>
  <si>
    <t>Rocker black paint</t>
  </si>
  <si>
    <t>Rocker mount red paint</t>
  </si>
  <si>
    <t>Front rocker, right and left are symetric</t>
  </si>
  <si>
    <t>SU A0600</t>
  </si>
  <si>
    <t>Front Bell Crank</t>
  </si>
  <si>
    <t>Machining removal</t>
  </si>
  <si>
    <t>Machining (turning)</t>
  </si>
  <si>
    <t>Round area, diameter 15 mm</t>
  </si>
  <si>
    <t>Stock material for bushings</t>
  </si>
  <si>
    <t>Plastic, Flouropolymers</t>
  </si>
  <si>
    <t>SU 06001</t>
  </si>
  <si>
    <t>Round area, diameter 14 mm</t>
  </si>
  <si>
    <t>SU 06002</t>
  </si>
  <si>
    <t>Cutting the sheets</t>
  </si>
  <si>
    <t>4 parts made from a single machine setup</t>
  </si>
  <si>
    <t>Insert and remove parts from laser</t>
  </si>
  <si>
    <t>Machining setup, install and remove</t>
  </si>
  <si>
    <t>Rectangular sheet 125*65 mm^2</t>
  </si>
  <si>
    <t>Material for rocker</t>
  </si>
  <si>
    <t>SU 06003</t>
  </si>
  <si>
    <t>Sheet of metal for the rocker</t>
  </si>
  <si>
    <t>SU_06003</t>
  </si>
  <si>
    <t>Drawing part:</t>
  </si>
  <si>
    <t>Rectangular sheet 50*26 mm^2</t>
  </si>
  <si>
    <t>SU 06004</t>
  </si>
  <si>
    <t>Welding of the mounts</t>
  </si>
  <si>
    <t>Bolt Damper Öhlins TTX25 MkII on Shock rear Bracket</t>
  </si>
  <si>
    <t>Bolt damper to shock rear bracket</t>
  </si>
  <si>
    <t>Painting the suspension bracket</t>
  </si>
  <si>
    <t>Weldind shock rear bracket with the frame</t>
  </si>
  <si>
    <t>Shock rear Bracket red paint</t>
  </si>
  <si>
    <t>Shock Rear Bracket</t>
  </si>
  <si>
    <t>Rear suspension, right and left are symetric</t>
  </si>
  <si>
    <t>SU A0700</t>
  </si>
  <si>
    <t>Rear suspension</t>
  </si>
  <si>
    <t>SU 07001</t>
  </si>
  <si>
    <t>Shock rear Bracket</t>
  </si>
  <si>
    <t>SU_07001</t>
  </si>
  <si>
    <t>Put each part of the rocker in place</t>
  </si>
  <si>
    <t xml:space="preserve">Insert the busher into the rocker mount </t>
  </si>
  <si>
    <t>Rear rocker, right and left are symetric</t>
  </si>
  <si>
    <t>SU A0800</t>
  </si>
  <si>
    <t>Rear Bell Crank</t>
  </si>
  <si>
    <t>SU 08001</t>
  </si>
  <si>
    <t>Rectangular sheet 100*65 mm^2</t>
  </si>
  <si>
    <t>SU 08002</t>
  </si>
  <si>
    <t>SU_08002</t>
  </si>
  <si>
    <t>Rectangular sheet 58*50 mm^2</t>
  </si>
  <si>
    <t>SU 08003</t>
  </si>
  <si>
    <t>Pullrod insert</t>
  </si>
  <si>
    <t>Pullrod tube</t>
  </si>
  <si>
    <t>Rear tie rod, right and left are symetric</t>
  </si>
  <si>
    <t>SU A0900</t>
  </si>
  <si>
    <t xml:space="preserve">Rear Tie rod  </t>
  </si>
  <si>
    <t>SU 09001</t>
  </si>
  <si>
    <t>Tie rod tube</t>
  </si>
  <si>
    <t>8 parts from a single machine setup (pushrod insert)</t>
  </si>
  <si>
    <t>SU 09002</t>
  </si>
  <si>
    <t>Tie rod insert</t>
  </si>
  <si>
    <t>Same as SU_0*_006 (*=1,…,4)</t>
  </si>
  <si>
    <t>Cylindrical 16 mm diameter</t>
  </si>
  <si>
    <t>Material for Part</t>
  </si>
  <si>
    <t>SU 09003</t>
  </si>
  <si>
    <t>SU_09003</t>
  </si>
  <si>
    <t>SU 09004</t>
  </si>
  <si>
    <t>SU_09004</t>
  </si>
  <si>
    <t>Bolt Upper arm bracket, wedge, camber adjustment shim and upright</t>
  </si>
  <si>
    <t>Camber and toe adjustment</t>
  </si>
  <si>
    <t>Suspension Setup-Independent Susp. (per corner)</t>
  </si>
  <si>
    <t>Bolt upright assembly with front A-arms</t>
  </si>
  <si>
    <t>Assemble upright assembly with frame</t>
  </si>
  <si>
    <t xml:space="preserve">Unit </t>
  </si>
  <si>
    <t>Assemble speed sensor bracket with upright</t>
  </si>
  <si>
    <t>Bolt upper arm bracket, shim and Wedge with upright</t>
  </si>
  <si>
    <t>Assemble Upper arm bracket with upright</t>
  </si>
  <si>
    <t>Assemble camber adjustment shim with upright</t>
  </si>
  <si>
    <t>Assemble Upper arm wedge with upright</t>
  </si>
  <si>
    <t>Assemble upright with hub</t>
  </si>
  <si>
    <t>Assemble, 3kg, Interference</t>
  </si>
  <si>
    <t>Camber adjustment shim</t>
  </si>
  <si>
    <t>Speed Sensor Brakcet</t>
  </si>
  <si>
    <t>Upper Arm Bracket</t>
  </si>
  <si>
    <t>Upper Arm Wedge</t>
  </si>
  <si>
    <t>Assembly of a part of the wheel with the uprights</t>
  </si>
  <si>
    <t>SU A1000</t>
  </si>
  <si>
    <t>Front Uprights</t>
  </si>
  <si>
    <t>Milling brake side slopes</t>
  </si>
  <si>
    <t>Milling lower slopes</t>
  </si>
  <si>
    <t>Milling upper slopes</t>
  </si>
  <si>
    <t>Last holes</t>
  </si>
  <si>
    <t>Milling, ending the sole, finishing the second bearing seat</t>
  </si>
  <si>
    <t>Milling, remove the major part of the sole</t>
  </si>
  <si>
    <t>Change the milling setup</t>
  </si>
  <si>
    <t xml:space="preserve">Milling the main part </t>
  </si>
  <si>
    <t>Setup for milling</t>
  </si>
  <si>
    <t>rectangular area, 180 x 280</t>
  </si>
  <si>
    <t>SU 10001</t>
  </si>
  <si>
    <t>Front Upright</t>
  </si>
  <si>
    <t>SU_10001</t>
  </si>
  <si>
    <t>Rectangular area, 70x45mm</t>
  </si>
  <si>
    <t>Part between the Upper arm bracket and the upright</t>
  </si>
  <si>
    <t>SU 10002</t>
  </si>
  <si>
    <t>SU_10002</t>
  </si>
  <si>
    <t>Milling, chamfer and last hole</t>
  </si>
  <si>
    <t xml:space="preserve">Milling 3 holes </t>
  </si>
  <si>
    <t>Milling to remove the sole</t>
  </si>
  <si>
    <t>Milling the main part</t>
  </si>
  <si>
    <t>Rectangle Area, 50x70 (mm)</t>
  </si>
  <si>
    <t>Bracket to link the upper arm to the upright</t>
  </si>
  <si>
    <t>SU 10003</t>
  </si>
  <si>
    <t>SU_10003</t>
  </si>
  <si>
    <t>Square area 35x40mm</t>
  </si>
  <si>
    <t>Bracket to maintain the speed sensor at the good position relative to the speed sensor disc</t>
  </si>
  <si>
    <t>SU 10004</t>
  </si>
  <si>
    <t>Speed Sensor Bracket</t>
  </si>
  <si>
    <t>SU_10004</t>
  </si>
  <si>
    <t>rectangular area, 80*45mm</t>
  </si>
  <si>
    <t>Part to modify the static camber of a wheel</t>
  </si>
  <si>
    <t>SU 10005</t>
  </si>
  <si>
    <t>SU_10005</t>
  </si>
  <si>
    <t>Bolt Speed sensor bracket on upright</t>
  </si>
  <si>
    <t>Bolt upright assembly with rear A-arms</t>
  </si>
  <si>
    <t>Bolt speed sensor bracket with upright</t>
  </si>
  <si>
    <t>Bolt upper arm bracket and shim with upright</t>
  </si>
  <si>
    <t>SU A1100</t>
  </si>
  <si>
    <t>Rear Uprights</t>
  </si>
  <si>
    <t>Drill the hole for the speed sensor bracket</t>
  </si>
  <si>
    <t>Milling, 2 holes for A-Arm and toe link</t>
  </si>
  <si>
    <t>Milling, removing the sole</t>
  </si>
  <si>
    <t>Milling, the main phase</t>
  </si>
  <si>
    <t>Milling the back and the first bearing seat</t>
  </si>
  <si>
    <t>rectangular area, 165 x 275</t>
  </si>
  <si>
    <t>SU 11001</t>
  </si>
  <si>
    <t>Rear Upright</t>
  </si>
  <si>
    <t>SU_11001</t>
  </si>
  <si>
    <t>SU 11002</t>
  </si>
  <si>
    <t>SU_11002</t>
  </si>
  <si>
    <t>Square area 22x56mm</t>
  </si>
  <si>
    <t>SU 11003</t>
  </si>
  <si>
    <t>SU_11003</t>
  </si>
  <si>
    <t>one setup for 30 pieces</t>
  </si>
  <si>
    <t>rectangular area, 84mm*48mm</t>
  </si>
  <si>
    <t>SU 11004</t>
  </si>
  <si>
    <t>SU_11004</t>
  </si>
  <si>
    <t>Front Pullrod, right and left are symetric</t>
  </si>
  <si>
    <t>SU A1200</t>
  </si>
  <si>
    <t>Front Pullrod</t>
  </si>
  <si>
    <t>SU 12001</t>
  </si>
  <si>
    <t>SU 12002</t>
  </si>
  <si>
    <t>8 parts made from a single machine setup</t>
  </si>
  <si>
    <t>SU 12003</t>
  </si>
  <si>
    <t>SU 12004</t>
  </si>
  <si>
    <t>Pushrod to A-arm fixing bolt</t>
  </si>
  <si>
    <t>Pushrod to rocker fixing bolt</t>
  </si>
  <si>
    <t>Bolt pushrod into the A-Arm</t>
  </si>
  <si>
    <t>Bolt pushrod into the rocker</t>
  </si>
  <si>
    <t>Screwing by hand the rod end in the steel cylinder</t>
  </si>
  <si>
    <t>Rear Pushrod, right and left are symetric</t>
  </si>
  <si>
    <t>SU A1300</t>
  </si>
  <si>
    <t>Drill &amp; Tap</t>
  </si>
  <si>
    <t>Round area, outside diameter 15 mm</t>
  </si>
  <si>
    <t>Steel, alloy</t>
  </si>
  <si>
    <t>SU 13001</t>
  </si>
  <si>
    <t>Steel cylinder for pushrod</t>
  </si>
  <si>
    <t>SU 13002</t>
  </si>
  <si>
    <t>SU_13002</t>
  </si>
  <si>
    <t>Damper, Risse Jupiter 5</t>
  </si>
  <si>
    <t>Tie rod black paint</t>
  </si>
  <si>
    <t>Right-hand rod end for tie rod extremities</t>
  </si>
  <si>
    <t>Left-hand rod end for tie rod extremities</t>
  </si>
  <si>
    <t>Welding the insert to the tube</t>
  </si>
  <si>
    <t>Painting of the tie rod in black</t>
  </si>
  <si>
    <t>Screwing by hand the rod end in the tie rod insert</t>
  </si>
  <si>
    <t>Put the spacers of the mount in place</t>
  </si>
  <si>
    <t>Bolt tierod into the mount</t>
  </si>
  <si>
    <t>Put the spacers of the upright lower insert in place</t>
  </si>
  <si>
    <t>Bolt tierod into the upright lower insert</t>
  </si>
  <si>
    <t>Machining, Setup, Install and remove</t>
  </si>
  <si>
    <t>Machining, Setup, Change</t>
  </si>
  <si>
    <t>Threading internal (machining)</t>
  </si>
  <si>
    <t>Part thread</t>
  </si>
  <si>
    <t>Material for tube</t>
  </si>
  <si>
    <t>Tierod tube</t>
  </si>
  <si>
    <t>Economie à faire</t>
  </si>
  <si>
    <t>En poucent ça donne</t>
  </si>
  <si>
    <t>Pullrod to rocker fixing bolt</t>
  </si>
  <si>
    <t>Pullrod to A-arm fixing bolt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</si>
</sst>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8">
    <numFmt numFmtId="44" formatCode="_-&quot;£&quot;* #,##0.00_-;\-&quot;£&quot;* #,##0.00_-;_-&quot;£&quot;* &quot;-&quot;??_-;_-@_-"/>
    <numFmt numFmtId="164" formatCode="_-* #,##0.00\ &quot;€&quot;_-;\-* #,##0.00\ &quot;€&quot;_-;_-* &quot;-&quot;??\ &quot;€&quot;_-;_-@_-"/>
    <numFmt numFmtId="165" formatCode="_-* #,##0.00\ _€_-;\-* #,##0.00\ _€_-;_-* &quot;-&quot;??\ _€_-;_-@_-"/>
    <numFmt numFmtId="166" formatCode="_(&quot;$&quot;* #,##0.00_);_(&quot;$&quot;* \(#,##0.00\);_(&quot;$&quot;* &quot;-&quot;??_);_(@_)"/>
    <numFmt numFmtId="167" formatCode="_(* #,##0.00_);_(* \(#,##0.00\);_(* &quot;-&quot;??_);_(@_)"/>
    <numFmt numFmtId="168" formatCode="_(&quot;$&quot;* #,##0.00_);_(&quot;$&quot;* \(#,##0.000\);_(&quot;$&quot;* &quot;-&quot;??_);_(@_)"/>
    <numFmt numFmtId="169" formatCode="\$#,##0.00_);&quot;($&quot;#,##0.00\)"/>
    <numFmt numFmtId="170" formatCode="_(\$* #,##0.00_);_(\$* \(#,##0.00\);_(\$* \-??_);_(@_)"/>
    <numFmt numFmtId="171" formatCode="_-[$$-409]* #,##0.00_ ;_-[$$-409]* \-#,##0.00\ ;_-[$$-409]* &quot;-&quot;??_ ;_-@_ "/>
    <numFmt numFmtId="172" formatCode="&quot;$&quot;#,##0.00"/>
    <numFmt numFmtId="173" formatCode="0.000"/>
    <numFmt numFmtId="174" formatCode="_-[$$-409]* #,##0.00_ ;_-[$$-409]* \-#,##0.00,;_-[$$-409]* \-??_ ;_-@_ "/>
    <numFmt numFmtId="175" formatCode="_(* #,##0.00_);_(* \(#,##0.00\);_(* \-??_);_(@_)"/>
    <numFmt numFmtId="176" formatCode="#,##0.0000"/>
    <numFmt numFmtId="177" formatCode="_(* #,##0.000_);_(* \(#,##0.000\);_(* \-??_);_(@_)"/>
    <numFmt numFmtId="178" formatCode="0.0"/>
    <numFmt numFmtId="179" formatCode="_(* #,##0_);_(* \(#,##0\);_(* \-??_);_(@_)"/>
    <numFmt numFmtId="180" formatCode="0.0000"/>
    <numFmt numFmtId="181" formatCode="_(* #,##0.000_);_(* \(#,##0.000\);_(* &quot;-&quot;??_);_(@_)"/>
    <numFmt numFmtId="182" formatCode="_(* #,##0_);_(* \(#,##0\);_(* &quot;-&quot;??_);_(@_)"/>
    <numFmt numFmtId="183" formatCode="_-* #,##0.000\ _€_-;\-* #,##0.000\ _€_-;_-* &quot;-&quot;???\ _€_-;_-@_-"/>
    <numFmt numFmtId="184" formatCode="_-[$$-C09]* #,##0.00_-;\-[$$-C09]* #,##0.00_-;_-[$$-C09]* &quot;-&quot;??_-;_-@_-"/>
    <numFmt numFmtId="185" formatCode="#,##0.000"/>
    <numFmt numFmtId="186" formatCode="_-* #,##0.000_-;\-* #,##0.000_-;_-* &quot;-&quot;??_-;_-@_-"/>
    <numFmt numFmtId="187" formatCode="0E+00"/>
    <numFmt numFmtId="188" formatCode="&quot;$&quot;#,##0.00_);&quot;($&quot;#,##0.00\)"/>
    <numFmt numFmtId="189" formatCode="_-* #,##0.0000\ _€_-;\-* #,##0.0000\ _€_-;_-* &quot;-&quot;????\ _€_-;_-@_-"/>
    <numFmt numFmtId="190" formatCode="_-* #,##0.000\ _€_-;\-* #,##0.000\ _€_-;_-* &quot;-&quot;????\ _€_-;_-@_-"/>
    <numFmt numFmtId="191" formatCode="_-* #,##0.000000\ _€_-;\-* #,##0.000000\ _€_-;_-* &quot;-&quot;????\ _€_-;_-@_-"/>
    <numFmt numFmtId="192" formatCode="0.00.E+00"/>
    <numFmt numFmtId="193" formatCode="_(* #,##0.0_);_(* \(#,##0.0\);_(* \-??_);_(@_)"/>
    <numFmt numFmtId="194" formatCode="_-* #,##0.00000\ _€_-;\-* #,##0.00000\ _€_-;_-* &quot;-&quot;?????\ _€_-;_-@_-"/>
    <numFmt numFmtId="195" formatCode="0.00000"/>
    <numFmt numFmtId="196" formatCode="_(\$* #,##0.00_);_(\$* \(#,##0.000\);_(\$* \-??_);_(@_)"/>
    <numFmt numFmtId="197" formatCode="0.00000000"/>
    <numFmt numFmtId="198" formatCode="_-* #,##0.00000000\ _€_-;\-* #,##0.00000000\ _€_-;_-* &quot;-&quot;????????\ _€_-;_-@_-"/>
    <numFmt numFmtId="199" formatCode="_-* #,##0.0000\ _€_-;\-* #,##0.0000\ _€_-;_-* &quot;-&quot;????????\ _€_-;_-@_-"/>
    <numFmt numFmtId="200" formatCode="_-[$$-409]* #,##0.00000_ ;_-[$$-409]* \-#,##0.00000\ ;_-[$$-409]* &quot;-&quot;??_ ;_-@_ "/>
  </numFmts>
  <fonts count="4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</font>
    <font>
      <b/>
      <sz val="11"/>
      <name val="Calibri"/>
      <family val="2"/>
    </font>
    <font>
      <sz val="11"/>
      <color indexed="8"/>
      <name val="Calibri"/>
      <family val="2"/>
    </font>
    <font>
      <b/>
      <sz val="11"/>
      <name val="Calibri"/>
      <family val="2"/>
      <charset val="1"/>
    </font>
    <font>
      <sz val="10"/>
      <color indexed="8"/>
      <name val="Arial"/>
      <family val="2"/>
    </font>
    <font>
      <sz val="11"/>
      <name val="Calibri"/>
      <family val="2"/>
      <scheme val="minor"/>
    </font>
    <font>
      <sz val="11"/>
      <color rgb="FF000000"/>
      <name val="Calibri"/>
      <family val="2"/>
      <charset val="1"/>
    </font>
    <font>
      <sz val="10"/>
      <name val="MS Sans Serif"/>
      <family val="2"/>
    </font>
    <font>
      <b/>
      <sz val="11"/>
      <color theme="0"/>
      <name val="Calibri"/>
      <family val="2"/>
    </font>
    <font>
      <sz val="10"/>
      <name val="Arial"/>
      <family val="2"/>
    </font>
    <font>
      <b/>
      <sz val="10"/>
      <name val="Arial"/>
      <family val="2"/>
    </font>
    <font>
      <b/>
      <i/>
      <sz val="10"/>
      <name val="Arial"/>
      <family val="2"/>
    </font>
    <font>
      <sz val="9"/>
      <name val="Arial"/>
      <family val="2"/>
    </font>
    <font>
      <b/>
      <sz val="11"/>
      <color indexed="9"/>
      <name val="Calibri"/>
      <family val="2"/>
    </font>
    <font>
      <b/>
      <sz val="11"/>
      <name val="Arial"/>
      <family val="2"/>
    </font>
    <font>
      <sz val="7"/>
      <name val="Arial"/>
      <family val="2"/>
    </font>
    <font>
      <sz val="11"/>
      <name val="Arial"/>
      <family val="2"/>
    </font>
    <font>
      <u/>
      <sz val="11"/>
      <color theme="10"/>
      <name val="Calibri"/>
      <family val="2"/>
      <charset val="1"/>
    </font>
    <font>
      <b/>
      <sz val="9"/>
      <name val="Arial"/>
      <family val="2"/>
    </font>
    <font>
      <sz val="11"/>
      <name val="Calibri"/>
      <family val="2"/>
      <charset val="1"/>
    </font>
    <font>
      <sz val="11"/>
      <color rgb="FF000000"/>
      <name val="Calibri"/>
      <family val="2"/>
    </font>
    <font>
      <sz val="11"/>
      <color rgb="FF9C65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color rgb="FFFF0000"/>
      <name val="Calibri"/>
      <family val="2"/>
      <charset val="1"/>
    </font>
    <font>
      <sz val="11"/>
      <color theme="1"/>
      <name val="Calibri"/>
      <family val="2"/>
    </font>
    <font>
      <u/>
      <sz val="11"/>
      <color rgb="FF0000FF"/>
      <name val="Calibri"/>
      <family val="2"/>
      <scheme val="minor"/>
    </font>
    <font>
      <u/>
      <sz val="11"/>
      <color theme="10"/>
      <name val="Calibri"/>
      <family val="2"/>
    </font>
    <font>
      <sz val="10"/>
      <name val="MS Sans Serif"/>
    </font>
    <font>
      <sz val="11"/>
      <color rgb="FF9C5700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rgb="FF000000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indexed="62"/>
        <bgColor indexed="62"/>
      </patternFill>
    </fill>
    <fill>
      <patternFill patternType="solid">
        <fgColor rgb="FF66CCFF"/>
        <bgColor indexed="44"/>
      </patternFill>
    </fill>
    <fill>
      <patternFill patternType="solid">
        <fgColor theme="0"/>
        <bgColor indexed="64"/>
      </patternFill>
    </fill>
    <fill>
      <patternFill patternType="solid">
        <fgColor rgb="FFFFEB9C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66"/>
        <bgColor rgb="FF000000"/>
      </patternFill>
    </fill>
    <fill>
      <patternFill patternType="solid">
        <fgColor rgb="FFFFFF99"/>
        <bgColor rgb="FFFCD5B5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  <fill>
      <patternFill patternType="solid">
        <fgColor rgb="FFFF9999"/>
        <bgColor indexed="64"/>
      </patternFill>
    </fill>
    <fill>
      <patternFill patternType="solid">
        <fgColor rgb="FFFF9999"/>
        <bgColor rgb="FFFCD5B5"/>
      </patternFill>
    </fill>
    <fill>
      <patternFill patternType="solid">
        <fgColor theme="9"/>
        <bgColor indexed="64"/>
      </patternFill>
    </fill>
  </fills>
  <borders count="95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 style="medium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 style="medium">
        <color theme="1"/>
      </left>
      <right/>
      <top style="medium">
        <color theme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</borders>
  <cellStyleXfs count="71">
    <xf numFmtId="0" fontId="0" fillId="0" borderId="0"/>
    <xf numFmtId="166" fontId="5" fillId="0" borderId="0" applyFont="0" applyFill="0" applyBorder="0" applyAlignment="0" applyProtection="0"/>
    <xf numFmtId="167" fontId="5" fillId="0" borderId="0" applyFont="0" applyFill="0" applyBorder="0" applyAlignment="0" applyProtection="0"/>
    <xf numFmtId="0" fontId="1" fillId="0" borderId="0"/>
    <xf numFmtId="0" fontId="7" fillId="0" borderId="0"/>
    <xf numFmtId="166" fontId="1" fillId="0" borderId="0" applyFont="0" applyFill="0" applyBorder="0" applyAlignment="0" applyProtection="0"/>
    <xf numFmtId="169" fontId="9" fillId="0" borderId="7">
      <alignment vertical="center" wrapText="1"/>
    </xf>
    <xf numFmtId="166" fontId="5" fillId="0" borderId="0" applyFont="0" applyFill="0" applyBorder="0" applyAlignment="0" applyProtection="0"/>
    <xf numFmtId="0" fontId="10" fillId="0" borderId="0"/>
    <xf numFmtId="172" fontId="9" fillId="0" borderId="7">
      <alignment vertical="center" wrapText="1"/>
    </xf>
    <xf numFmtId="166" fontId="10" fillId="0" borderId="0" applyFont="0" applyFill="0" applyBorder="0" applyAlignment="0" applyProtection="0"/>
    <xf numFmtId="0" fontId="1" fillId="0" borderId="0"/>
    <xf numFmtId="0" fontId="12" fillId="0" borderId="0"/>
    <xf numFmtId="167" fontId="12" fillId="0" borderId="0" applyFont="0" applyFill="0" applyBorder="0" applyAlignment="0" applyProtection="0"/>
    <xf numFmtId="0" fontId="20" fillId="0" borderId="0" applyNumberFormat="0" applyFill="0" applyBorder="0" applyAlignment="0" applyProtection="0"/>
    <xf numFmtId="0" fontId="9" fillId="0" borderId="0"/>
    <xf numFmtId="164" fontId="9" fillId="0" borderId="0" applyFont="0" applyFill="0" applyBorder="0" applyAlignment="0" applyProtection="0"/>
    <xf numFmtId="178" fontId="9" fillId="0" borderId="7">
      <alignment vertical="center" wrapText="1"/>
    </xf>
    <xf numFmtId="166" fontId="12" fillId="0" borderId="0" applyFont="0" applyFill="0" applyBorder="0" applyAlignment="0" applyProtection="0"/>
    <xf numFmtId="0" fontId="12" fillId="0" borderId="0"/>
    <xf numFmtId="0" fontId="9" fillId="0" borderId="0"/>
    <xf numFmtId="0" fontId="5" fillId="0" borderId="0"/>
    <xf numFmtId="44" fontId="1" fillId="0" borderId="0" applyFont="0" applyFill="0" applyBorder="0" applyAlignment="0" applyProtection="0"/>
    <xf numFmtId="0" fontId="24" fillId="7" borderId="0" applyNumberFormat="0" applyBorder="0" applyAlignment="0" applyProtection="0"/>
    <xf numFmtId="172" fontId="23" fillId="0" borderId="7">
      <alignment vertical="center" wrapText="1"/>
    </xf>
    <xf numFmtId="165" fontId="9" fillId="0" borderId="0" applyFont="0" applyFill="0" applyBorder="0" applyAlignment="0" applyProtection="0"/>
    <xf numFmtId="166" fontId="1" fillId="0" borderId="0" applyFont="0" applyFill="0" applyBorder="0" applyAlignment="0" applyProtection="0"/>
    <xf numFmtId="166" fontId="23" fillId="6" borderId="7">
      <alignment vertical="center" wrapText="1"/>
    </xf>
    <xf numFmtId="0" fontId="1" fillId="0" borderId="0"/>
    <xf numFmtId="165" fontId="5" fillId="0" borderId="0" applyFont="0" applyFill="0" applyBorder="0" applyAlignment="0" applyProtection="0"/>
    <xf numFmtId="0" fontId="9" fillId="0" borderId="0"/>
    <xf numFmtId="165" fontId="9" fillId="0" borderId="0" applyFont="0" applyFill="0" applyBorder="0" applyAlignment="0" applyProtection="0"/>
    <xf numFmtId="0" fontId="1" fillId="0" borderId="0"/>
    <xf numFmtId="0" fontId="31" fillId="0" borderId="0" applyNumberFormat="0" applyFill="0" applyBorder="0" applyAlignment="0" applyProtection="0"/>
    <xf numFmtId="0" fontId="23" fillId="0" borderId="0"/>
    <xf numFmtId="188" fontId="23" fillId="0" borderId="7">
      <alignment vertical="center" wrapText="1"/>
    </xf>
    <xf numFmtId="0" fontId="32" fillId="0" borderId="0" applyNumberFormat="0" applyFill="0" applyBorder="0" applyAlignment="0" applyProtection="0"/>
    <xf numFmtId="0" fontId="1" fillId="0" borderId="0"/>
    <xf numFmtId="0" fontId="2" fillId="0" borderId="0" applyNumberFormat="0" applyFill="0" applyBorder="0" applyAlignment="0" applyProtection="0"/>
    <xf numFmtId="0" fontId="9" fillId="0" borderId="0"/>
    <xf numFmtId="0" fontId="1" fillId="0" borderId="0"/>
    <xf numFmtId="0" fontId="1" fillId="0" borderId="0"/>
    <xf numFmtId="0" fontId="33" fillId="0" borderId="0"/>
    <xf numFmtId="165" fontId="5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34" fillId="7" borderId="0" applyNumberFormat="0" applyBorder="0" applyAlignment="0" applyProtection="0"/>
    <xf numFmtId="166" fontId="1" fillId="0" borderId="0" applyFont="0" applyFill="0" applyBorder="0" applyAlignment="0" applyProtection="0"/>
    <xf numFmtId="0" fontId="1" fillId="0" borderId="0"/>
    <xf numFmtId="165" fontId="5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2" fillId="0" borderId="0" applyNumberFormat="0" applyFill="0" applyBorder="0" applyAlignment="0" applyProtection="0"/>
    <xf numFmtId="166" fontId="27" fillId="8" borderId="50">
      <alignment vertical="center" wrapText="1"/>
    </xf>
    <xf numFmtId="0" fontId="33" fillId="0" borderId="0"/>
    <xf numFmtId="170" fontId="5" fillId="0" borderId="0" applyFill="0" applyBorder="0" applyAlignment="0" applyProtection="0"/>
    <xf numFmtId="0" fontId="1" fillId="0" borderId="0"/>
    <xf numFmtId="166" fontId="24" fillId="7" borderId="64">
      <alignment vertical="center" wrapText="1"/>
    </xf>
    <xf numFmtId="166" fontId="24" fillId="7" borderId="71">
      <alignment vertical="center" wrapText="1"/>
    </xf>
    <xf numFmtId="164" fontId="1" fillId="0" borderId="0" applyFont="0" applyFill="0" applyBorder="0" applyAlignment="0" applyProtection="0"/>
    <xf numFmtId="166" fontId="28" fillId="9" borderId="64">
      <alignment vertical="center" wrapText="1"/>
    </xf>
    <xf numFmtId="0" fontId="9" fillId="0" borderId="0"/>
    <xf numFmtId="0" fontId="1" fillId="0" borderId="0"/>
    <xf numFmtId="0" fontId="1" fillId="0" borderId="0"/>
    <xf numFmtId="0" fontId="1" fillId="0" borderId="0"/>
    <xf numFmtId="0" fontId="5" fillId="0" borderId="0"/>
    <xf numFmtId="0" fontId="1" fillId="0" borderId="0"/>
    <xf numFmtId="175" fontId="5" fillId="0" borderId="0" applyFill="0" applyBorder="0" applyAlignment="0" applyProtection="0"/>
    <xf numFmtId="0" fontId="1" fillId="0" borderId="0"/>
  </cellStyleXfs>
  <cellXfs count="1258">
    <xf numFmtId="0" fontId="0" fillId="0" borderId="0" xfId="0"/>
    <xf numFmtId="0" fontId="4" fillId="0" borderId="0" xfId="0" applyFont="1" applyFill="1" applyBorder="1"/>
    <xf numFmtId="170" fontId="3" fillId="0" borderId="6" xfId="6" applyNumberFormat="1" applyFont="1" applyBorder="1" applyAlignment="1" applyProtection="1"/>
    <xf numFmtId="0" fontId="8" fillId="0" borderId="0" xfId="3" applyFont="1" applyBorder="1"/>
    <xf numFmtId="0" fontId="11" fillId="2" borderId="11" xfId="11" applyFont="1" applyFill="1" applyBorder="1"/>
    <xf numFmtId="0" fontId="1" fillId="3" borderId="12" xfId="11" applyFont="1" applyFill="1" applyBorder="1"/>
    <xf numFmtId="0" fontId="13" fillId="0" borderId="0" xfId="12" applyFont="1"/>
    <xf numFmtId="0" fontId="14" fillId="0" borderId="0" xfId="12" applyFont="1"/>
    <xf numFmtId="0" fontId="15" fillId="0" borderId="0" xfId="12" applyFont="1"/>
    <xf numFmtId="167" fontId="13" fillId="0" borderId="0" xfId="13" applyFont="1"/>
    <xf numFmtId="0" fontId="11" fillId="4" borderId="0" xfId="11" applyFont="1" applyFill="1" applyBorder="1" applyAlignment="1"/>
    <xf numFmtId="0" fontId="16" fillId="4" borderId="0" xfId="11" applyFont="1" applyFill="1" applyBorder="1" applyAlignment="1"/>
    <xf numFmtId="2" fontId="1" fillId="5" borderId="13" xfId="11" quotePrefix="1" applyNumberFormat="1" applyFill="1" applyBorder="1" applyAlignment="1">
      <alignment horizontal="right"/>
    </xf>
    <xf numFmtId="0" fontId="12" fillId="0" borderId="0" xfId="12" applyFont="1"/>
    <xf numFmtId="0" fontId="11" fillId="2" borderId="14" xfId="11" applyFont="1" applyFill="1" applyBorder="1"/>
    <xf numFmtId="0" fontId="1" fillId="3" borderId="15" xfId="11" applyFont="1" applyFill="1" applyBorder="1"/>
    <xf numFmtId="0" fontId="1" fillId="0" borderId="0" xfId="11" applyBorder="1"/>
    <xf numFmtId="0" fontId="1" fillId="0" borderId="0" xfId="11"/>
    <xf numFmtId="0" fontId="1" fillId="0" borderId="0" xfId="11" applyFont="1"/>
    <xf numFmtId="0" fontId="11" fillId="2" borderId="16" xfId="11" applyFont="1" applyFill="1" applyBorder="1"/>
    <xf numFmtId="0" fontId="1" fillId="3" borderId="15" xfId="11" quotePrefix="1" applyFill="1" applyBorder="1" applyAlignment="1">
      <alignment horizontal="left"/>
    </xf>
    <xf numFmtId="0" fontId="11" fillId="2" borderId="17" xfId="11" applyFont="1" applyFill="1" applyBorder="1"/>
    <xf numFmtId="0" fontId="1" fillId="3" borderId="15" xfId="11" quotePrefix="1" applyFont="1" applyFill="1" applyBorder="1" applyAlignment="1">
      <alignment horizontal="left"/>
    </xf>
    <xf numFmtId="0" fontId="16" fillId="0" borderId="0" xfId="11" applyFont="1" applyFill="1" applyBorder="1"/>
    <xf numFmtId="0" fontId="1" fillId="0" borderId="0" xfId="11" applyFont="1" applyFill="1" applyBorder="1"/>
    <xf numFmtId="0" fontId="1" fillId="0" borderId="0" xfId="11" applyFill="1" applyBorder="1"/>
    <xf numFmtId="0" fontId="1" fillId="0" borderId="0" xfId="11" applyFill="1"/>
    <xf numFmtId="0" fontId="1" fillId="0" borderId="0" xfId="11" applyFont="1" applyFill="1"/>
    <xf numFmtId="0" fontId="17" fillId="0" borderId="0" xfId="12" applyFont="1" applyAlignment="1">
      <alignment horizontal="center"/>
    </xf>
    <xf numFmtId="0" fontId="17" fillId="0" borderId="18" xfId="12" applyFont="1" applyBorder="1" applyAlignment="1">
      <alignment horizontal="center" wrapText="1"/>
    </xf>
    <xf numFmtId="167" fontId="17" fillId="0" borderId="18" xfId="13" applyFont="1" applyBorder="1" applyAlignment="1">
      <alignment horizontal="center" wrapText="1"/>
    </xf>
    <xf numFmtId="2" fontId="17" fillId="0" borderId="18" xfId="12" applyNumberFormat="1" applyFont="1" applyBorder="1" applyAlignment="1">
      <alignment horizontal="center" wrapText="1"/>
    </xf>
    <xf numFmtId="0" fontId="18" fillId="0" borderId="0" xfId="12" applyFont="1"/>
    <xf numFmtId="0" fontId="19" fillId="0" borderId="19" xfId="12" applyFont="1" applyFill="1" applyBorder="1" applyProtection="1">
      <protection locked="0"/>
    </xf>
    <xf numFmtId="0" fontId="19" fillId="0" borderId="19" xfId="12" applyFont="1" applyFill="1" applyBorder="1" applyAlignment="1">
      <alignment horizontal="left"/>
    </xf>
    <xf numFmtId="18" fontId="19" fillId="0" borderId="19" xfId="12" applyNumberFormat="1" applyFont="1" applyFill="1" applyBorder="1" applyAlignment="1" applyProtection="1">
      <protection locked="0"/>
    </xf>
    <xf numFmtId="167" fontId="19" fillId="0" borderId="19" xfId="13" applyFont="1" applyFill="1" applyBorder="1" applyProtection="1">
      <protection locked="0"/>
    </xf>
    <xf numFmtId="0" fontId="19" fillId="0" borderId="19" xfId="12" applyFont="1" applyFill="1" applyBorder="1" applyAlignment="1" applyProtection="1">
      <alignment horizontal="center"/>
      <protection locked="0"/>
    </xf>
    <xf numFmtId="171" fontId="19" fillId="0" borderId="19" xfId="12" applyNumberFormat="1" applyFont="1" applyFill="1" applyBorder="1" applyAlignment="1">
      <alignment horizontal="right"/>
    </xf>
    <xf numFmtId="0" fontId="19" fillId="0" borderId="19" xfId="12" applyFont="1" applyFill="1" applyBorder="1" applyAlignment="1">
      <alignment horizontal="center"/>
    </xf>
    <xf numFmtId="0" fontId="12" fillId="0" borderId="0" xfId="12" applyFont="1" applyFill="1"/>
    <xf numFmtId="0" fontId="12" fillId="0" borderId="0" xfId="12" applyFont="1" applyProtection="1">
      <protection locked="0"/>
    </xf>
    <xf numFmtId="167" fontId="12" fillId="0" borderId="0" xfId="13" applyFont="1"/>
    <xf numFmtId="167" fontId="12" fillId="0" borderId="0" xfId="12" applyNumberFormat="1" applyFont="1"/>
    <xf numFmtId="0" fontId="13" fillId="0" borderId="0" xfId="12" applyFont="1" applyProtection="1">
      <protection locked="0"/>
    </xf>
    <xf numFmtId="0" fontId="21" fillId="0" borderId="0" xfId="12" applyFont="1"/>
    <xf numFmtId="170" fontId="22" fillId="0" borderId="6" xfId="6" applyNumberFormat="1" applyFont="1" applyBorder="1" applyAlignment="1" applyProtection="1"/>
    <xf numFmtId="37" fontId="22" fillId="0" borderId="6" xfId="6" applyNumberFormat="1" applyFont="1" applyBorder="1" applyAlignment="1" applyProtection="1"/>
    <xf numFmtId="39" fontId="22" fillId="0" borderId="6" xfId="6" applyNumberFormat="1" applyFont="1" applyBorder="1" applyAlignment="1" applyProtection="1"/>
    <xf numFmtId="0" fontId="22" fillId="0" borderId="6" xfId="6" applyNumberFormat="1" applyFont="1" applyBorder="1" applyAlignment="1" applyProtection="1">
      <alignment vertical="center" wrapText="1"/>
    </xf>
    <xf numFmtId="170" fontId="22" fillId="0" borderId="26" xfId="6" applyNumberFormat="1" applyFont="1" applyBorder="1" applyAlignment="1" applyProtection="1"/>
    <xf numFmtId="0" fontId="0" fillId="0" borderId="26" xfId="6" applyNumberFormat="1" applyFont="1" applyBorder="1" applyAlignment="1">
      <alignment wrapText="1"/>
    </xf>
    <xf numFmtId="0" fontId="0" fillId="0" borderId="6" xfId="6" applyNumberFormat="1" applyFont="1" applyBorder="1" applyAlignment="1">
      <alignment wrapText="1"/>
    </xf>
    <xf numFmtId="175" fontId="22" fillId="0" borderId="6" xfId="6" applyNumberFormat="1" applyFont="1" applyBorder="1" applyAlignment="1" applyProtection="1"/>
    <xf numFmtId="176" fontId="22" fillId="0" borderId="6" xfId="6" applyNumberFormat="1" applyFont="1" applyBorder="1" applyAlignment="1" applyProtection="1"/>
    <xf numFmtId="0" fontId="22" fillId="0" borderId="23" xfId="6" applyNumberFormat="1" applyFont="1" applyBorder="1" applyAlignment="1"/>
    <xf numFmtId="0" fontId="20" fillId="0" borderId="26" xfId="14" applyNumberFormat="1" applyBorder="1" applyAlignment="1" applyProtection="1"/>
    <xf numFmtId="0" fontId="20" fillId="0" borderId="6" xfId="14" applyNumberFormat="1" applyBorder="1" applyAlignment="1" applyProtection="1"/>
    <xf numFmtId="0" fontId="20" fillId="0" borderId="0" xfId="14" applyBorder="1"/>
    <xf numFmtId="171" fontId="22" fillId="0" borderId="6" xfId="6" applyNumberFormat="1" applyFont="1" applyBorder="1" applyAlignment="1" applyProtection="1"/>
    <xf numFmtId="0" fontId="20" fillId="0" borderId="0" xfId="14"/>
    <xf numFmtId="175" fontId="22" fillId="0" borderId="26" xfId="6" applyNumberFormat="1" applyFont="1" applyBorder="1" applyAlignment="1" applyProtection="1"/>
    <xf numFmtId="2" fontId="22" fillId="0" borderId="26" xfId="6" applyNumberFormat="1" applyFont="1" applyBorder="1" applyAlignment="1" applyProtection="1"/>
    <xf numFmtId="170" fontId="22" fillId="0" borderId="38" xfId="6" applyNumberFormat="1" applyFont="1" applyBorder="1" applyAlignment="1" applyProtection="1"/>
    <xf numFmtId="0" fontId="3" fillId="0" borderId="26" xfId="6" applyNumberFormat="1" applyFont="1" applyBorder="1" applyAlignment="1">
      <alignment wrapText="1"/>
    </xf>
    <xf numFmtId="11" fontId="22" fillId="0" borderId="6" xfId="6" applyNumberFormat="1" applyFont="1" applyBorder="1" applyAlignment="1" applyProtection="1"/>
    <xf numFmtId="179" fontId="22" fillId="0" borderId="6" xfId="6" applyNumberFormat="1" applyFont="1" applyBorder="1" applyAlignment="1" applyProtection="1"/>
    <xf numFmtId="2" fontId="22" fillId="0" borderId="6" xfId="6" applyNumberFormat="1" applyFont="1" applyBorder="1" applyAlignment="1" applyProtection="1"/>
    <xf numFmtId="177" fontId="22" fillId="0" borderId="6" xfId="6" applyNumberFormat="1" applyFont="1" applyBorder="1" applyAlignment="1" applyProtection="1"/>
    <xf numFmtId="180" fontId="22" fillId="0" borderId="6" xfId="6" applyNumberFormat="1" applyFont="1" applyBorder="1" applyAlignment="1" applyProtection="1"/>
    <xf numFmtId="0" fontId="20" fillId="0" borderId="6" xfId="14" applyBorder="1"/>
    <xf numFmtId="0" fontId="22" fillId="0" borderId="6" xfId="6" applyNumberFormat="1" applyFont="1" applyBorder="1" applyAlignment="1" applyProtection="1"/>
    <xf numFmtId="170" fontId="22" fillId="0" borderId="37" xfId="6" applyNumberFormat="1" applyFont="1" applyBorder="1" applyAlignment="1" applyProtection="1"/>
    <xf numFmtId="170" fontId="22" fillId="0" borderId="6" xfId="6" applyNumberFormat="1" applyFont="1" applyBorder="1" applyAlignment="1" applyProtection="1">
      <alignment wrapText="1"/>
    </xf>
    <xf numFmtId="0" fontId="22" fillId="0" borderId="45" xfId="6" applyNumberFormat="1" applyFont="1" applyBorder="1" applyAlignment="1" applyProtection="1"/>
    <xf numFmtId="0" fontId="25" fillId="0" borderId="31" xfId="20" applyFont="1" applyBorder="1"/>
    <xf numFmtId="0" fontId="25" fillId="0" borderId="30" xfId="20" applyFont="1" applyBorder="1"/>
    <xf numFmtId="0" fontId="25" fillId="0" borderId="29" xfId="20" applyFont="1" applyBorder="1"/>
    <xf numFmtId="0" fontId="25" fillId="0" borderId="0" xfId="20" applyFont="1"/>
    <xf numFmtId="0" fontId="8" fillId="0" borderId="0" xfId="20" applyFont="1" applyBorder="1"/>
    <xf numFmtId="0" fontId="25" fillId="0" borderId="0" xfId="20" applyFont="1" applyBorder="1"/>
    <xf numFmtId="0" fontId="2" fillId="0" borderId="0" xfId="14" applyFont="1" applyBorder="1"/>
    <xf numFmtId="0" fontId="8" fillId="0" borderId="6" xfId="20" applyFont="1" applyBorder="1" applyAlignment="1">
      <alignment horizontal="right"/>
    </xf>
    <xf numFmtId="171" fontId="8" fillId="0" borderId="6" xfId="6" applyNumberFormat="1" applyFont="1" applyBorder="1" applyAlignment="1" applyProtection="1"/>
    <xf numFmtId="0" fontId="25" fillId="0" borderId="23" xfId="20" applyFont="1" applyBorder="1"/>
    <xf numFmtId="37" fontId="8" fillId="0" borderId="6" xfId="6" applyNumberFormat="1" applyFont="1" applyBorder="1" applyAlignment="1" applyProtection="1"/>
    <xf numFmtId="0" fontId="8" fillId="0" borderId="0" xfId="20" applyFont="1" applyBorder="1" applyAlignment="1">
      <alignment horizontal="left"/>
    </xf>
    <xf numFmtId="170" fontId="8" fillId="0" borderId="6" xfId="6" applyNumberFormat="1" applyFont="1" applyBorder="1" applyAlignment="1" applyProtection="1"/>
    <xf numFmtId="0" fontId="25" fillId="0" borderId="25" xfId="20" applyFont="1" applyBorder="1"/>
    <xf numFmtId="0" fontId="8" fillId="0" borderId="6" xfId="20" applyFont="1" applyBorder="1"/>
    <xf numFmtId="0" fontId="8" fillId="0" borderId="23" xfId="6" applyNumberFormat="1" applyFont="1" applyBorder="1" applyAlignment="1"/>
    <xf numFmtId="0" fontId="8" fillId="0" borderId="26" xfId="20" applyFont="1" applyBorder="1"/>
    <xf numFmtId="170" fontId="8" fillId="0" borderId="26" xfId="6" applyNumberFormat="1" applyFont="1" applyBorder="1" applyAlignment="1" applyProtection="1"/>
    <xf numFmtId="0" fontId="26" fillId="0" borderId="25" xfId="20" applyFont="1" applyBorder="1"/>
    <xf numFmtId="0" fontId="26" fillId="0" borderId="0" xfId="20" applyFont="1" applyBorder="1"/>
    <xf numFmtId="0" fontId="25" fillId="0" borderId="23" xfId="20" applyFont="1" applyBorder="1" applyAlignment="1">
      <alignment wrapText="1"/>
    </xf>
    <xf numFmtId="0" fontId="25" fillId="0" borderId="6" xfId="20" applyFont="1" applyBorder="1"/>
    <xf numFmtId="0" fontId="25" fillId="0" borderId="22" xfId="20" applyFont="1" applyBorder="1"/>
    <xf numFmtId="0" fontId="25" fillId="0" borderId="21" xfId="20" applyFont="1" applyBorder="1"/>
    <xf numFmtId="0" fontId="25" fillId="0" borderId="20" xfId="20" applyFont="1" applyBorder="1"/>
    <xf numFmtId="0" fontId="9" fillId="0" borderId="31" xfId="20" applyBorder="1"/>
    <xf numFmtId="0" fontId="9" fillId="0" borderId="30" xfId="20" applyBorder="1"/>
    <xf numFmtId="0" fontId="9" fillId="0" borderId="29" xfId="20" applyBorder="1"/>
    <xf numFmtId="0" fontId="9" fillId="0" borderId="0" xfId="20"/>
    <xf numFmtId="0" fontId="22" fillId="0" borderId="0" xfId="20" applyFont="1" applyBorder="1"/>
    <xf numFmtId="0" fontId="9" fillId="0" borderId="0" xfId="20" applyBorder="1"/>
    <xf numFmtId="0" fontId="22" fillId="0" borderId="6" xfId="20" applyFont="1" applyBorder="1" applyAlignment="1">
      <alignment horizontal="right"/>
    </xf>
    <xf numFmtId="0" fontId="9" fillId="0" borderId="23" xfId="20" applyBorder="1"/>
    <xf numFmtId="0" fontId="22" fillId="0" borderId="0" xfId="20" applyFont="1" applyBorder="1" applyAlignment="1">
      <alignment horizontal="left"/>
    </xf>
    <xf numFmtId="49" fontId="22" fillId="0" borderId="0" xfId="20" applyNumberFormat="1" applyFont="1" applyBorder="1" applyAlignment="1">
      <alignment horizontal="left"/>
    </xf>
    <xf numFmtId="0" fontId="6" fillId="0" borderId="35" xfId="20" applyFont="1" applyBorder="1"/>
    <xf numFmtId="0" fontId="6" fillId="0" borderId="34" xfId="20" applyFont="1" applyBorder="1"/>
    <xf numFmtId="0" fontId="9" fillId="0" borderId="23" xfId="20" applyBorder="1" applyAlignment="1"/>
    <xf numFmtId="0" fontId="9" fillId="0" borderId="0" xfId="20" applyAlignment="1"/>
    <xf numFmtId="0" fontId="6" fillId="0" borderId="25" xfId="20" applyFont="1" applyBorder="1"/>
    <xf numFmtId="0" fontId="6" fillId="0" borderId="0" xfId="20" applyFont="1" applyBorder="1"/>
    <xf numFmtId="0" fontId="9" fillId="0" borderId="25" xfId="20" applyBorder="1"/>
    <xf numFmtId="0" fontId="9" fillId="0" borderId="0" xfId="20" applyBorder="1" applyAlignment="1"/>
    <xf numFmtId="0" fontId="9" fillId="0" borderId="22" xfId="20" applyBorder="1"/>
    <xf numFmtId="0" fontId="9" fillId="0" borderId="21" xfId="20" applyBorder="1"/>
    <xf numFmtId="0" fontId="9" fillId="0" borderId="20" xfId="20" applyBorder="1"/>
    <xf numFmtId="0" fontId="20" fillId="0" borderId="0" xfId="14" applyFill="1"/>
    <xf numFmtId="0" fontId="9" fillId="0" borderId="0" xfId="20" applyBorder="1" applyAlignment="1">
      <alignment wrapText="1"/>
    </xf>
    <xf numFmtId="0" fontId="9" fillId="0" borderId="23" xfId="20" applyBorder="1" applyAlignment="1">
      <alignment wrapText="1"/>
    </xf>
    <xf numFmtId="0" fontId="9" fillId="0" borderId="0" xfId="20" applyAlignment="1">
      <alignment wrapText="1"/>
    </xf>
    <xf numFmtId="0" fontId="9" fillId="0" borderId="1" xfId="20" applyBorder="1"/>
    <xf numFmtId="0" fontId="9" fillId="0" borderId="2" xfId="20" applyBorder="1"/>
    <xf numFmtId="0" fontId="9" fillId="0" borderId="3" xfId="20" applyBorder="1"/>
    <xf numFmtId="0" fontId="9" fillId="0" borderId="4" xfId="20" applyBorder="1"/>
    <xf numFmtId="0" fontId="9" fillId="0" borderId="0" xfId="20" applyFont="1" applyBorder="1"/>
    <xf numFmtId="0" fontId="9" fillId="0" borderId="5" xfId="20" applyBorder="1"/>
    <xf numFmtId="0" fontId="9" fillId="0" borderId="0" xfId="20" applyFill="1" applyBorder="1"/>
    <xf numFmtId="0" fontId="9" fillId="0" borderId="4" xfId="20" applyBorder="1" applyAlignment="1">
      <alignment wrapText="1"/>
    </xf>
    <xf numFmtId="0" fontId="22" fillId="0" borderId="41" xfId="20" applyFont="1" applyBorder="1"/>
    <xf numFmtId="0" fontId="22" fillId="0" borderId="6" xfId="20" applyFont="1" applyBorder="1"/>
    <xf numFmtId="0" fontId="9" fillId="0" borderId="6" xfId="20" applyBorder="1"/>
    <xf numFmtId="0" fontId="6" fillId="0" borderId="5" xfId="20" applyFont="1" applyBorder="1"/>
    <xf numFmtId="174" fontId="22" fillId="0" borderId="6" xfId="20" applyNumberFormat="1" applyFont="1" applyBorder="1"/>
    <xf numFmtId="0" fontId="9" fillId="0" borderId="8" xfId="20" applyBorder="1"/>
    <xf numFmtId="0" fontId="9" fillId="0" borderId="9" xfId="20" applyBorder="1"/>
    <xf numFmtId="0" fontId="9" fillId="0" borderId="10" xfId="20" applyBorder="1"/>
    <xf numFmtId="0" fontId="6" fillId="0" borderId="42" xfId="20" applyFont="1" applyBorder="1"/>
    <xf numFmtId="0" fontId="9" fillId="0" borderId="4" xfId="20" applyBorder="1" applyAlignment="1"/>
    <xf numFmtId="11" fontId="22" fillId="0" borderId="6" xfId="20" applyNumberFormat="1" applyFont="1" applyBorder="1"/>
    <xf numFmtId="0" fontId="22" fillId="0" borderId="26" xfId="20" applyFont="1" applyBorder="1" applyAlignment="1"/>
    <xf numFmtId="0" fontId="22" fillId="0" borderId="6" xfId="20" applyFont="1" applyBorder="1" applyAlignment="1"/>
    <xf numFmtId="11" fontId="22" fillId="0" borderId="6" xfId="20" applyNumberFormat="1" applyFont="1" applyBorder="1" applyAlignment="1"/>
    <xf numFmtId="0" fontId="9" fillId="0" borderId="6" xfId="20" applyBorder="1" applyAlignment="1"/>
    <xf numFmtId="0" fontId="9" fillId="0" borderId="23" xfId="20" applyFont="1" applyBorder="1"/>
    <xf numFmtId="0" fontId="9" fillId="0" borderId="0" xfId="20" applyFont="1"/>
    <xf numFmtId="0" fontId="3" fillId="0" borderId="6" xfId="20" applyFont="1" applyBorder="1"/>
    <xf numFmtId="0" fontId="22" fillId="0" borderId="6" xfId="20" applyFont="1" applyBorder="1" applyAlignment="1">
      <alignment wrapText="1"/>
    </xf>
    <xf numFmtId="0" fontId="9" fillId="0" borderId="31" xfId="20" applyBorder="1" applyAlignment="1"/>
    <xf numFmtId="0" fontId="9" fillId="0" borderId="30" xfId="20" applyBorder="1" applyAlignment="1"/>
    <xf numFmtId="0" fontId="9" fillId="0" borderId="29" xfId="20" applyBorder="1" applyAlignment="1"/>
    <xf numFmtId="0" fontId="22" fillId="0" borderId="0" xfId="20" applyFont="1" applyBorder="1" applyAlignment="1"/>
    <xf numFmtId="0" fontId="20" fillId="0" borderId="0" xfId="14" applyBorder="1" applyAlignment="1"/>
    <xf numFmtId="0" fontId="9" fillId="0" borderId="0" xfId="20" applyFont="1" applyBorder="1" applyAlignment="1"/>
    <xf numFmtId="0" fontId="9" fillId="0" borderId="25" xfId="20" applyBorder="1" applyAlignment="1"/>
    <xf numFmtId="0" fontId="6" fillId="0" borderId="25" xfId="20" applyFont="1" applyBorder="1" applyAlignment="1"/>
    <xf numFmtId="0" fontId="6" fillId="0" borderId="0" xfId="20" applyFont="1" applyBorder="1" applyAlignment="1"/>
    <xf numFmtId="0" fontId="9" fillId="0" borderId="23" xfId="20" applyFont="1" applyBorder="1" applyAlignment="1"/>
    <xf numFmtId="0" fontId="9" fillId="0" borderId="0" xfId="20" applyFont="1" applyAlignment="1"/>
    <xf numFmtId="0" fontId="9" fillId="0" borderId="22" xfId="20" applyBorder="1" applyAlignment="1"/>
    <xf numFmtId="0" fontId="9" fillId="0" borderId="21" xfId="20" applyBorder="1" applyAlignment="1"/>
    <xf numFmtId="0" fontId="9" fillId="0" borderId="20" xfId="20" applyBorder="1" applyAlignment="1"/>
    <xf numFmtId="0" fontId="20" fillId="0" borderId="49" xfId="14" applyBorder="1"/>
    <xf numFmtId="170" fontId="22" fillId="0" borderId="49" xfId="6" applyNumberFormat="1" applyFont="1" applyBorder="1" applyAlignment="1" applyProtection="1"/>
    <xf numFmtId="175" fontId="22" fillId="0" borderId="49" xfId="6" applyNumberFormat="1" applyFont="1" applyBorder="1" applyAlignment="1" applyProtection="1"/>
    <xf numFmtId="173" fontId="22" fillId="0" borderId="49" xfId="6" applyNumberFormat="1" applyFont="1" applyBorder="1" applyAlignment="1" applyProtection="1"/>
    <xf numFmtId="177" fontId="22" fillId="0" borderId="49" xfId="6" applyNumberFormat="1" applyFont="1" applyBorder="1" applyAlignment="1" applyProtection="1"/>
    <xf numFmtId="1" fontId="22" fillId="0" borderId="49" xfId="6" applyNumberFormat="1" applyFont="1" applyBorder="1" applyAlignment="1" applyProtection="1"/>
    <xf numFmtId="0" fontId="0" fillId="0" borderId="49" xfId="6" applyNumberFormat="1" applyFont="1" applyBorder="1" applyAlignment="1">
      <alignment wrapText="1"/>
    </xf>
    <xf numFmtId="170" fontId="22" fillId="0" borderId="49" xfId="6" applyNumberFormat="1" applyFont="1" applyBorder="1" applyAlignment="1" applyProtection="1">
      <alignment wrapText="1"/>
    </xf>
    <xf numFmtId="11" fontId="22" fillId="0" borderId="49" xfId="6" applyNumberFormat="1" applyFont="1" applyBorder="1" applyAlignment="1" applyProtection="1"/>
    <xf numFmtId="2" fontId="22" fillId="0" borderId="49" xfId="6" applyNumberFormat="1" applyFont="1" applyBorder="1" applyAlignment="1" applyProtection="1"/>
    <xf numFmtId="0" fontId="0" fillId="0" borderId="49" xfId="6" applyNumberFormat="1" applyFont="1" applyBorder="1" applyAlignment="1"/>
    <xf numFmtId="0" fontId="3" fillId="0" borderId="49" xfId="4" applyFont="1" applyFill="1" applyBorder="1" applyAlignment="1">
      <alignment wrapText="1"/>
    </xf>
    <xf numFmtId="166" fontId="3" fillId="0" borderId="49" xfId="1" applyFont="1" applyFill="1" applyBorder="1"/>
    <xf numFmtId="166" fontId="3" fillId="0" borderId="49" xfId="1" applyNumberFormat="1" applyFont="1" applyFill="1" applyBorder="1"/>
    <xf numFmtId="0" fontId="5" fillId="0" borderId="49" xfId="4" applyFont="1" applyFill="1" applyBorder="1" applyAlignment="1">
      <alignment wrapText="1"/>
    </xf>
    <xf numFmtId="39" fontId="3" fillId="0" borderId="49" xfId="1" applyNumberFormat="1" applyFont="1" applyFill="1" applyBorder="1"/>
    <xf numFmtId="37" fontId="3" fillId="0" borderId="49" xfId="1" applyNumberFormat="1" applyFont="1" applyFill="1" applyBorder="1"/>
    <xf numFmtId="172" fontId="23" fillId="0" borderId="49" xfId="24" applyBorder="1">
      <alignment vertical="center" wrapText="1"/>
    </xf>
    <xf numFmtId="0" fontId="20" fillId="0" borderId="0" xfId="14" applyFill="1" applyBorder="1"/>
    <xf numFmtId="166" fontId="3" fillId="0" borderId="49" xfId="7" applyFont="1" applyFill="1" applyBorder="1"/>
    <xf numFmtId="166" fontId="3" fillId="0" borderId="49" xfId="7" applyNumberFormat="1" applyFont="1" applyFill="1" applyBorder="1" applyAlignment="1"/>
    <xf numFmtId="0" fontId="5" fillId="0" borderId="0" xfId="4" applyFont="1" applyFill="1" applyBorder="1" applyAlignment="1">
      <alignment wrapText="1"/>
    </xf>
    <xf numFmtId="0" fontId="20" fillId="0" borderId="49" xfId="14" applyNumberFormat="1" applyBorder="1" applyAlignment="1" applyProtection="1"/>
    <xf numFmtId="0" fontId="19" fillId="0" borderId="0" xfId="12" applyFont="1" applyFill="1" applyBorder="1" applyAlignment="1">
      <alignment horizontal="left"/>
    </xf>
    <xf numFmtId="0" fontId="3" fillId="0" borderId="49" xfId="28" applyFont="1" applyFill="1" applyBorder="1"/>
    <xf numFmtId="165" fontId="3" fillId="0" borderId="49" xfId="29" applyFont="1" applyFill="1" applyBorder="1"/>
    <xf numFmtId="11" fontId="3" fillId="0" borderId="49" xfId="28" applyNumberFormat="1" applyFont="1" applyFill="1" applyBorder="1"/>
    <xf numFmtId="182" fontId="3" fillId="0" borderId="49" xfId="29" applyNumberFormat="1" applyFont="1" applyFill="1" applyBorder="1"/>
    <xf numFmtId="2" fontId="3" fillId="0" borderId="49" xfId="1" applyNumberFormat="1" applyFont="1" applyFill="1" applyBorder="1"/>
    <xf numFmtId="11" fontId="3" fillId="0" borderId="49" xfId="29" applyNumberFormat="1" applyFont="1" applyFill="1" applyBorder="1"/>
    <xf numFmtId="0" fontId="3" fillId="0" borderId="49" xfId="30" applyFont="1" applyFill="1" applyBorder="1"/>
    <xf numFmtId="0" fontId="9" fillId="0" borderId="49" xfId="30" applyBorder="1"/>
    <xf numFmtId="0" fontId="22" fillId="0" borderId="49" xfId="4" applyFont="1" applyFill="1" applyBorder="1" applyAlignment="1">
      <alignment wrapText="1"/>
    </xf>
    <xf numFmtId="0" fontId="22" fillId="0" borderId="49" xfId="28" applyNumberFormat="1" applyFont="1" applyFill="1" applyBorder="1"/>
    <xf numFmtId="0" fontId="22" fillId="0" borderId="6" xfId="6" applyNumberFormat="1" applyFont="1" applyBorder="1" applyAlignment="1">
      <alignment wrapText="1"/>
    </xf>
    <xf numFmtId="166" fontId="22" fillId="0" borderId="49" xfId="1" applyFont="1" applyFill="1" applyBorder="1"/>
    <xf numFmtId="0" fontId="22" fillId="0" borderId="49" xfId="28" applyFont="1" applyFill="1" applyBorder="1"/>
    <xf numFmtId="166" fontId="22" fillId="0" borderId="49" xfId="7" applyFont="1" applyFill="1" applyBorder="1"/>
    <xf numFmtId="0" fontId="8" fillId="0" borderId="0" xfId="28" applyFont="1" applyBorder="1"/>
    <xf numFmtId="166" fontId="8" fillId="0" borderId="49" xfId="7" applyFont="1" applyFill="1" applyBorder="1" applyAlignment="1"/>
    <xf numFmtId="167" fontId="8" fillId="0" borderId="49" xfId="2" applyFont="1" applyFill="1" applyBorder="1" applyAlignment="1"/>
    <xf numFmtId="11" fontId="3" fillId="0" borderId="49" xfId="31" applyNumberFormat="1" applyFont="1" applyFill="1" applyBorder="1"/>
    <xf numFmtId="0" fontId="3" fillId="0" borderId="49" xfId="29" applyNumberFormat="1" applyFont="1" applyFill="1" applyBorder="1"/>
    <xf numFmtId="0" fontId="9" fillId="0" borderId="4" xfId="30" applyBorder="1" applyAlignment="1"/>
    <xf numFmtId="0" fontId="9" fillId="0" borderId="49" xfId="30" applyBorder="1" applyAlignment="1">
      <alignment wrapText="1"/>
    </xf>
    <xf numFmtId="0" fontId="8" fillId="0" borderId="58" xfId="32" applyFont="1" applyBorder="1" applyAlignment="1">
      <alignment wrapText="1"/>
    </xf>
    <xf numFmtId="173" fontId="9" fillId="0" borderId="49" xfId="30" applyNumberFormat="1" applyBorder="1"/>
    <xf numFmtId="0" fontId="6" fillId="0" borderId="0" xfId="30" applyFont="1" applyBorder="1"/>
    <xf numFmtId="0" fontId="9" fillId="0" borderId="4" xfId="30" applyBorder="1"/>
    <xf numFmtId="0" fontId="3" fillId="0" borderId="49" xfId="30" applyFont="1" applyFill="1" applyBorder="1" applyAlignment="1">
      <alignment wrapText="1"/>
    </xf>
    <xf numFmtId="1" fontId="3" fillId="0" borderId="49" xfId="30" applyNumberFormat="1" applyFont="1" applyFill="1" applyBorder="1"/>
    <xf numFmtId="0" fontId="9" fillId="0" borderId="0" xfId="30" applyBorder="1" applyAlignment="1">
      <alignment wrapText="1"/>
    </xf>
    <xf numFmtId="0" fontId="9" fillId="0" borderId="4" xfId="30" applyBorder="1" applyAlignment="1">
      <alignment wrapText="1"/>
    </xf>
    <xf numFmtId="0" fontId="9" fillId="0" borderId="0" xfId="30" applyBorder="1"/>
    <xf numFmtId="0" fontId="9" fillId="0" borderId="0" xfId="30" applyFont="1" applyBorder="1"/>
    <xf numFmtId="0" fontId="3" fillId="0" borderId="49" xfId="30" applyFont="1" applyFill="1" applyBorder="1" applyAlignment="1">
      <alignment horizontal="left" wrapText="1"/>
    </xf>
    <xf numFmtId="175" fontId="8" fillId="0" borderId="49" xfId="6" applyNumberFormat="1" applyFont="1" applyBorder="1" applyAlignment="1" applyProtection="1"/>
    <xf numFmtId="11" fontId="8" fillId="0" borderId="6" xfId="6" applyNumberFormat="1" applyFont="1" applyBorder="1" applyAlignment="1" applyProtection="1"/>
    <xf numFmtId="187" fontId="8" fillId="0" borderId="6" xfId="6" applyNumberFormat="1" applyFont="1" applyBorder="1" applyAlignment="1" applyProtection="1"/>
    <xf numFmtId="1" fontId="8" fillId="0" borderId="49" xfId="6" applyNumberFormat="1" applyFont="1" applyBorder="1" applyAlignment="1" applyProtection="1"/>
    <xf numFmtId="170" fontId="8" fillId="0" borderId="49" xfId="6" applyNumberFormat="1" applyFont="1" applyBorder="1" applyAlignment="1" applyProtection="1"/>
    <xf numFmtId="0" fontId="8" fillId="0" borderId="49" xfId="4" applyFont="1" applyFill="1" applyBorder="1" applyAlignment="1">
      <alignment wrapText="1"/>
    </xf>
    <xf numFmtId="166" fontId="8" fillId="0" borderId="49" xfId="7" applyFont="1" applyFill="1" applyBorder="1" applyAlignment="1">
      <alignment wrapText="1"/>
    </xf>
    <xf numFmtId="166" fontId="8" fillId="0" borderId="49" xfId="7" applyNumberFormat="1" applyFont="1" applyFill="1" applyBorder="1" applyAlignment="1">
      <alignment wrapText="1"/>
    </xf>
    <xf numFmtId="166" fontId="8" fillId="0" borderId="49" xfId="7" applyNumberFormat="1" applyFont="1" applyFill="1" applyBorder="1" applyAlignment="1"/>
    <xf numFmtId="166" fontId="3" fillId="0" borderId="60" xfId="7" applyFont="1" applyFill="1" applyBorder="1"/>
    <xf numFmtId="167" fontId="3" fillId="0" borderId="60" xfId="2" applyFont="1" applyFill="1" applyBorder="1"/>
    <xf numFmtId="182" fontId="3" fillId="0" borderId="60" xfId="2" applyNumberFormat="1" applyFont="1" applyFill="1" applyBorder="1"/>
    <xf numFmtId="0" fontId="19" fillId="0" borderId="0" xfId="12" applyFont="1" applyFill="1" applyBorder="1" applyAlignment="1" applyProtection="1">
      <alignment horizontal="center"/>
      <protection locked="0"/>
    </xf>
    <xf numFmtId="11" fontId="3" fillId="0" borderId="60" xfId="2" applyNumberFormat="1" applyFont="1" applyFill="1" applyBorder="1"/>
    <xf numFmtId="0" fontId="22" fillId="0" borderId="26" xfId="20" applyFont="1" applyBorder="1"/>
    <xf numFmtId="0" fontId="22" fillId="0" borderId="60" xfId="20" applyFont="1" applyBorder="1"/>
    <xf numFmtId="170" fontId="22" fillId="0" borderId="60" xfId="6" applyNumberFormat="1" applyFont="1" applyBorder="1" applyAlignment="1" applyProtection="1"/>
    <xf numFmtId="0" fontId="3" fillId="0" borderId="60" xfId="20" applyFont="1" applyFill="1" applyBorder="1" applyAlignment="1" applyProtection="1">
      <alignment vertical="center" wrapText="1"/>
    </xf>
    <xf numFmtId="0" fontId="22" fillId="0" borderId="27" xfId="20" applyFont="1" applyBorder="1"/>
    <xf numFmtId="0" fontId="3" fillId="0" borderId="60" xfId="15" applyFont="1" applyFill="1" applyBorder="1"/>
    <xf numFmtId="166" fontId="3" fillId="0" borderId="60" xfId="1" applyFont="1" applyFill="1" applyBorder="1"/>
    <xf numFmtId="0" fontId="22" fillId="0" borderId="62" xfId="20" applyFont="1" applyBorder="1" applyAlignment="1"/>
    <xf numFmtId="11" fontId="9" fillId="0" borderId="0" xfId="20" applyNumberFormat="1"/>
    <xf numFmtId="0" fontId="6" fillId="0" borderId="0" xfId="20" applyFont="1" applyBorder="1" applyAlignment="1">
      <alignment wrapText="1"/>
    </xf>
    <xf numFmtId="37" fontId="22" fillId="0" borderId="6" xfId="20" applyNumberFormat="1" applyFont="1" applyBorder="1"/>
    <xf numFmtId="0" fontId="3" fillId="0" borderId="0" xfId="20" applyFont="1" applyFill="1" applyBorder="1" applyAlignment="1" applyProtection="1">
      <alignment vertical="center" wrapText="1"/>
    </xf>
    <xf numFmtId="0" fontId="3" fillId="0" borderId="63" xfId="20" applyFont="1" applyFill="1" applyBorder="1"/>
    <xf numFmtId="166" fontId="3" fillId="0" borderId="49" xfId="7" applyFont="1" applyFill="1" applyBorder="1" applyAlignment="1"/>
    <xf numFmtId="167" fontId="3" fillId="0" borderId="49" xfId="2" applyFont="1" applyFill="1" applyBorder="1" applyAlignment="1"/>
    <xf numFmtId="166" fontId="3" fillId="0" borderId="49" xfId="7" applyFont="1" applyFill="1" applyBorder="1" applyAlignment="1">
      <alignment wrapText="1"/>
    </xf>
    <xf numFmtId="170" fontId="3" fillId="0" borderId="26" xfId="6" applyNumberFormat="1" applyFont="1" applyBorder="1" applyAlignment="1" applyProtection="1"/>
    <xf numFmtId="0" fontId="2" fillId="0" borderId="0" xfId="54" applyFill="1" applyBorder="1"/>
    <xf numFmtId="0" fontId="3" fillId="0" borderId="0" xfId="20" applyFont="1" applyFill="1" applyBorder="1"/>
    <xf numFmtId="0" fontId="22" fillId="0" borderId="4" xfId="6" applyNumberFormat="1" applyFont="1" applyBorder="1" applyAlignment="1"/>
    <xf numFmtId="0" fontId="3" fillId="0" borderId="49" xfId="20" applyFont="1" applyFill="1" applyBorder="1"/>
    <xf numFmtId="0" fontId="3" fillId="0" borderId="49" xfId="20" applyNumberFormat="1" applyFont="1" applyFill="1" applyBorder="1"/>
    <xf numFmtId="0" fontId="3" fillId="0" borderId="49" xfId="20" applyFont="1" applyFill="1" applyBorder="1" applyAlignment="1" applyProtection="1">
      <alignment vertical="center" wrapText="1"/>
    </xf>
    <xf numFmtId="0" fontId="9" fillId="0" borderId="4" xfId="20" applyFont="1" applyBorder="1"/>
    <xf numFmtId="0" fontId="8" fillId="0" borderId="49" xfId="20" applyFont="1" applyBorder="1"/>
    <xf numFmtId="170" fontId="22" fillId="0" borderId="32" xfId="6" applyNumberFormat="1" applyFont="1" applyBorder="1" applyAlignment="1" applyProtection="1"/>
    <xf numFmtId="0" fontId="9" fillId="0" borderId="49" xfId="20" applyBorder="1"/>
    <xf numFmtId="0" fontId="3" fillId="0" borderId="64" xfId="4" applyFont="1" applyFill="1" applyBorder="1" applyAlignment="1">
      <alignment wrapText="1"/>
    </xf>
    <xf numFmtId="0" fontId="35" fillId="0" borderId="0" xfId="20" applyFont="1" applyBorder="1"/>
    <xf numFmtId="166" fontId="3" fillId="0" borderId="38" xfId="1" applyFont="1" applyFill="1" applyBorder="1" applyAlignment="1">
      <alignment wrapText="1"/>
    </xf>
    <xf numFmtId="166" fontId="3" fillId="0" borderId="49" xfId="1" applyFont="1" applyFill="1" applyBorder="1" applyAlignment="1">
      <alignment wrapText="1"/>
    </xf>
    <xf numFmtId="175" fontId="22" fillId="0" borderId="49" xfId="6" applyNumberFormat="1" applyFont="1" applyBorder="1" applyAlignment="1" applyProtection="1">
      <alignment wrapText="1"/>
    </xf>
    <xf numFmtId="173" fontId="22" fillId="0" borderId="49" xfId="6" applyNumberFormat="1" applyFont="1" applyBorder="1" applyAlignment="1" applyProtection="1">
      <alignment wrapText="1"/>
    </xf>
    <xf numFmtId="177" fontId="22" fillId="0" borderId="49" xfId="6" applyNumberFormat="1" applyFont="1" applyBorder="1" applyAlignment="1" applyProtection="1">
      <alignment wrapText="1"/>
    </xf>
    <xf numFmtId="2" fontId="22" fillId="0" borderId="49" xfId="6" applyNumberFormat="1" applyFont="1" applyBorder="1" applyAlignment="1" applyProtection="1">
      <alignment wrapText="1"/>
    </xf>
    <xf numFmtId="0" fontId="19" fillId="11" borderId="49" xfId="12" applyFont="1" applyFill="1" applyBorder="1" applyAlignment="1">
      <alignment horizontal="center"/>
    </xf>
    <xf numFmtId="171" fontId="19" fillId="11" borderId="49" xfId="12" applyNumberFormat="1" applyFont="1" applyFill="1" applyBorder="1" applyAlignment="1">
      <alignment horizontal="right"/>
    </xf>
    <xf numFmtId="171" fontId="19" fillId="11" borderId="49" xfId="12" applyNumberFormat="1" applyFont="1" applyFill="1" applyBorder="1" applyAlignment="1" applyProtection="1">
      <alignment horizontal="center"/>
      <protection locked="0"/>
    </xf>
    <xf numFmtId="0" fontId="19" fillId="11" borderId="49" xfId="12" applyFont="1" applyFill="1" applyBorder="1" applyAlignment="1" applyProtection="1">
      <alignment horizontal="center"/>
      <protection locked="0"/>
    </xf>
    <xf numFmtId="171" fontId="19" fillId="11" borderId="49" xfId="13" applyNumberFormat="1" applyFont="1" applyFill="1" applyBorder="1" applyProtection="1">
      <protection locked="0"/>
    </xf>
    <xf numFmtId="18" fontId="19" fillId="11" borderId="49" xfId="12" applyNumberFormat="1" applyFont="1" applyFill="1" applyBorder="1" applyAlignment="1" applyProtection="1">
      <protection locked="0"/>
    </xf>
    <xf numFmtId="49" fontId="20" fillId="11" borderId="0" xfId="14" applyNumberFormat="1" applyFill="1"/>
    <xf numFmtId="0" fontId="19" fillId="11" borderId="49" xfId="12" applyFont="1" applyFill="1" applyBorder="1" applyAlignment="1">
      <alignment horizontal="left"/>
    </xf>
    <xf numFmtId="0" fontId="19" fillId="11" borderId="49" xfId="12" applyFont="1" applyFill="1" applyBorder="1" applyProtection="1">
      <protection locked="0"/>
    </xf>
    <xf numFmtId="37" fontId="19" fillId="11" borderId="49" xfId="12" applyNumberFormat="1" applyFont="1" applyFill="1" applyBorder="1" applyAlignment="1" applyProtection="1">
      <alignment horizontal="center"/>
      <protection locked="0"/>
    </xf>
    <xf numFmtId="0" fontId="20" fillId="11" borderId="49" xfId="14" applyFill="1" applyBorder="1" applyAlignment="1">
      <alignment horizontal="left"/>
    </xf>
    <xf numFmtId="0" fontId="19" fillId="10" borderId="49" xfId="12" applyFont="1" applyFill="1" applyBorder="1" applyAlignment="1">
      <alignment horizontal="center"/>
    </xf>
    <xf numFmtId="171" fontId="19" fillId="10" borderId="49" xfId="12" applyNumberFormat="1" applyFont="1" applyFill="1" applyBorder="1" applyAlignment="1">
      <alignment horizontal="right"/>
    </xf>
    <xf numFmtId="171" fontId="19" fillId="10" borderId="49" xfId="12" applyNumberFormat="1" applyFont="1" applyFill="1" applyBorder="1" applyAlignment="1" applyProtection="1">
      <alignment horizontal="center"/>
      <protection locked="0"/>
    </xf>
    <xf numFmtId="37" fontId="19" fillId="10" borderId="49" xfId="12" applyNumberFormat="1" applyFont="1" applyFill="1" applyBorder="1" applyAlignment="1" applyProtection="1">
      <alignment horizontal="center"/>
      <protection locked="0"/>
    </xf>
    <xf numFmtId="171" fontId="19" fillId="10" borderId="49" xfId="13" applyNumberFormat="1" applyFont="1" applyFill="1" applyBorder="1" applyProtection="1">
      <protection locked="0"/>
    </xf>
    <xf numFmtId="18" fontId="19" fillId="10" borderId="49" xfId="12" applyNumberFormat="1" applyFont="1" applyFill="1" applyBorder="1" applyAlignment="1" applyProtection="1">
      <protection locked="0"/>
    </xf>
    <xf numFmtId="0" fontId="20" fillId="10" borderId="49" xfId="14" applyFill="1" applyBorder="1" applyAlignment="1">
      <alignment horizontal="left"/>
    </xf>
    <xf numFmtId="0" fontId="19" fillId="10" borderId="49" xfId="12" applyFont="1" applyFill="1" applyBorder="1" applyAlignment="1">
      <alignment horizontal="left"/>
    </xf>
    <xf numFmtId="0" fontId="19" fillId="10" borderId="49" xfId="12" applyFont="1" applyFill="1" applyBorder="1" applyProtection="1">
      <protection locked="0"/>
    </xf>
    <xf numFmtId="49" fontId="20" fillId="11" borderId="49" xfId="14" applyNumberFormat="1" applyFill="1" applyBorder="1"/>
    <xf numFmtId="18" fontId="19" fillId="11" borderId="39" xfId="12" applyNumberFormat="1" applyFont="1" applyFill="1" applyBorder="1" applyAlignment="1" applyProtection="1">
      <protection locked="0"/>
    </xf>
    <xf numFmtId="0" fontId="19" fillId="11" borderId="39" xfId="12" applyFont="1" applyFill="1" applyBorder="1" applyAlignment="1">
      <alignment horizontal="center"/>
    </xf>
    <xf numFmtId="0" fontId="19" fillId="11" borderId="39" xfId="12" applyFont="1" applyFill="1" applyBorder="1" applyProtection="1">
      <protection locked="0"/>
    </xf>
    <xf numFmtId="0" fontId="20" fillId="11" borderId="49" xfId="14" applyFill="1" applyBorder="1"/>
    <xf numFmtId="0" fontId="19" fillId="10" borderId="49" xfId="12" applyFont="1" applyFill="1" applyBorder="1" applyAlignment="1" applyProtection="1">
      <alignment horizontal="center"/>
      <protection locked="0"/>
    </xf>
    <xf numFmtId="18" fontId="20" fillId="10" borderId="49" xfId="14" applyNumberFormat="1" applyFill="1" applyBorder="1" applyAlignment="1" applyProtection="1">
      <protection locked="0"/>
    </xf>
    <xf numFmtId="0" fontId="33" fillId="0" borderId="0" xfId="56"/>
    <xf numFmtId="0" fontId="33" fillId="0" borderId="23" xfId="56" applyBorder="1"/>
    <xf numFmtId="0" fontId="33" fillId="0" borderId="0" xfId="56" applyBorder="1"/>
    <xf numFmtId="0" fontId="6" fillId="0" borderId="0" xfId="56" applyFont="1" applyBorder="1"/>
    <xf numFmtId="170" fontId="6" fillId="12" borderId="24" xfId="56" applyNumberFormat="1" applyFont="1" applyFill="1" applyBorder="1"/>
    <xf numFmtId="0" fontId="6" fillId="12" borderId="24" xfId="56" applyFont="1" applyFill="1" applyBorder="1" applyAlignment="1">
      <alignment horizontal="right"/>
    </xf>
    <xf numFmtId="0" fontId="6" fillId="0" borderId="25" xfId="56" applyFont="1" applyBorder="1"/>
    <xf numFmtId="0" fontId="3" fillId="0" borderId="49" xfId="56" applyFont="1" applyFill="1" applyBorder="1"/>
    <xf numFmtId="0" fontId="6" fillId="12" borderId="6" xfId="20" applyFont="1" applyFill="1" applyBorder="1"/>
    <xf numFmtId="170" fontId="6" fillId="12" borderId="24" xfId="20" applyNumberFormat="1" applyFont="1" applyFill="1" applyBorder="1"/>
    <xf numFmtId="0" fontId="6" fillId="12" borderId="24" xfId="20" applyFont="1" applyFill="1" applyBorder="1" applyAlignment="1">
      <alignment horizontal="right"/>
    </xf>
    <xf numFmtId="170" fontId="3" fillId="0" borderId="49" xfId="57" applyFont="1" applyFill="1" applyBorder="1" applyAlignment="1" applyProtection="1"/>
    <xf numFmtId="37" fontId="3" fillId="0" borderId="49" xfId="57" applyNumberFormat="1" applyFont="1" applyFill="1" applyBorder="1" applyAlignment="1" applyProtection="1"/>
    <xf numFmtId="0" fontId="3" fillId="0" borderId="49" xfId="58" applyNumberFormat="1" applyFont="1" applyFill="1" applyBorder="1"/>
    <xf numFmtId="0" fontId="3" fillId="0" borderId="49" xfId="58" applyFont="1" applyFill="1" applyBorder="1"/>
    <xf numFmtId="39" fontId="3" fillId="0" borderId="49" xfId="57" applyNumberFormat="1" applyFont="1" applyFill="1" applyBorder="1" applyAlignment="1" applyProtection="1"/>
    <xf numFmtId="2" fontId="3" fillId="0" borderId="49" xfId="58" applyNumberFormat="1" applyFont="1" applyFill="1" applyBorder="1"/>
    <xf numFmtId="0" fontId="30" fillId="0" borderId="49" xfId="58" applyFont="1" applyFill="1" applyBorder="1"/>
    <xf numFmtId="4" fontId="3" fillId="0" borderId="49" xfId="58" applyNumberFormat="1" applyFont="1" applyFill="1" applyBorder="1"/>
    <xf numFmtId="0" fontId="6" fillId="12" borderId="26" xfId="20" applyFont="1" applyFill="1" applyBorder="1"/>
    <xf numFmtId="170" fontId="6" fillId="12" borderId="6" xfId="20" applyNumberFormat="1" applyFont="1" applyFill="1" applyBorder="1"/>
    <xf numFmtId="0" fontId="6" fillId="12" borderId="6" xfId="20" applyFont="1" applyFill="1" applyBorder="1" applyAlignment="1">
      <alignment horizontal="right"/>
    </xf>
    <xf numFmtId="0" fontId="9" fillId="0" borderId="23" xfId="56" applyFont="1" applyBorder="1"/>
    <xf numFmtId="0" fontId="9" fillId="0" borderId="0" xfId="56" applyFont="1" applyBorder="1"/>
    <xf numFmtId="0" fontId="33" fillId="0" borderId="49" xfId="56" applyBorder="1"/>
    <xf numFmtId="0" fontId="8" fillId="0" borderId="49" xfId="56" applyFont="1" applyBorder="1"/>
    <xf numFmtId="0" fontId="3" fillId="0" borderId="49" xfId="56" applyNumberFormat="1" applyFont="1" applyFill="1" applyBorder="1" applyAlignment="1">
      <alignment wrapText="1"/>
    </xf>
    <xf numFmtId="0" fontId="33" fillId="0" borderId="23" xfId="56" applyBorder="1" applyAlignment="1">
      <alignment wrapText="1"/>
    </xf>
    <xf numFmtId="0" fontId="3" fillId="0" borderId="49" xfId="56" applyFont="1" applyFill="1" applyBorder="1" applyAlignment="1">
      <alignment wrapText="1"/>
    </xf>
    <xf numFmtId="0" fontId="33" fillId="0" borderId="0" xfId="56" applyAlignment="1">
      <alignment wrapText="1"/>
    </xf>
    <xf numFmtId="0" fontId="33" fillId="0" borderId="0" xfId="56" applyAlignment="1"/>
    <xf numFmtId="0" fontId="33" fillId="0" borderId="23" xfId="56" applyBorder="1" applyAlignment="1"/>
    <xf numFmtId="0" fontId="33" fillId="0" borderId="0" xfId="56" applyBorder="1" applyAlignment="1"/>
    <xf numFmtId="0" fontId="8" fillId="0" borderId="49" xfId="56" applyFont="1" applyBorder="1" applyAlignment="1"/>
    <xf numFmtId="0" fontId="3" fillId="0" borderId="49" xfId="4" applyFont="1" applyFill="1" applyBorder="1" applyAlignment="1"/>
    <xf numFmtId="0" fontId="3" fillId="0" borderId="49" xfId="56" applyNumberFormat="1" applyFont="1" applyFill="1" applyBorder="1" applyAlignment="1"/>
    <xf numFmtId="0" fontId="3" fillId="0" borderId="49" xfId="56" applyFont="1" applyFill="1" applyBorder="1" applyAlignment="1"/>
    <xf numFmtId="170" fontId="6" fillId="12" borderId="32" xfId="20" applyNumberFormat="1" applyFont="1" applyFill="1" applyBorder="1"/>
    <xf numFmtId="0" fontId="6" fillId="12" borderId="40" xfId="20" applyFont="1" applyFill="1" applyBorder="1"/>
    <xf numFmtId="0" fontId="9" fillId="0" borderId="49" xfId="20" applyBorder="1" applyAlignment="1"/>
    <xf numFmtId="179" fontId="22" fillId="0" borderId="49" xfId="6" applyNumberFormat="1" applyFont="1" applyBorder="1" applyAlignment="1" applyProtection="1"/>
    <xf numFmtId="0" fontId="22" fillId="0" borderId="49" xfId="20" applyFont="1" applyBorder="1"/>
    <xf numFmtId="0" fontId="3" fillId="0" borderId="49" xfId="58" applyFont="1" applyFill="1" applyBorder="1" applyAlignment="1">
      <alignment wrapText="1"/>
    </xf>
    <xf numFmtId="0" fontId="9" fillId="0" borderId="26" xfId="20" applyBorder="1" applyAlignment="1"/>
    <xf numFmtId="177" fontId="22" fillId="0" borderId="26" xfId="6" applyNumberFormat="1" applyFont="1" applyBorder="1" applyAlignment="1" applyProtection="1"/>
    <xf numFmtId="180" fontId="22" fillId="0" borderId="26" xfId="6" applyNumberFormat="1" applyFont="1" applyBorder="1" applyAlignment="1" applyProtection="1"/>
    <xf numFmtId="11" fontId="22" fillId="0" borderId="26" xfId="20" applyNumberFormat="1" applyFont="1" applyBorder="1" applyAlignment="1"/>
    <xf numFmtId="0" fontId="3" fillId="0" borderId="66" xfId="58" applyFont="1" applyFill="1" applyBorder="1" applyAlignment="1">
      <alignment wrapText="1"/>
    </xf>
    <xf numFmtId="0" fontId="3" fillId="0" borderId="66" xfId="58" applyFont="1" applyFill="1" applyBorder="1"/>
    <xf numFmtId="166" fontId="8" fillId="0" borderId="0" xfId="59" applyFont="1" applyFill="1" applyBorder="1">
      <alignment vertical="center" wrapText="1"/>
    </xf>
    <xf numFmtId="170" fontId="6" fillId="12" borderId="67" xfId="20" applyNumberFormat="1" applyFont="1" applyFill="1" applyBorder="1"/>
    <xf numFmtId="0" fontId="6" fillId="12" borderId="40" xfId="20" applyFont="1" applyFill="1" applyBorder="1" applyAlignment="1">
      <alignment horizontal="right"/>
    </xf>
    <xf numFmtId="0" fontId="22" fillId="0" borderId="67" xfId="20" applyFont="1" applyFill="1" applyBorder="1"/>
    <xf numFmtId="170" fontId="22" fillId="0" borderId="68" xfId="6" applyNumberFormat="1" applyFont="1" applyBorder="1" applyAlignment="1" applyProtection="1"/>
    <xf numFmtId="0" fontId="20" fillId="0" borderId="67" xfId="14" applyNumberFormat="1" applyBorder="1" applyAlignment="1" applyProtection="1"/>
    <xf numFmtId="170" fontId="22" fillId="0" borderId="69" xfId="6" applyNumberFormat="1" applyFont="1" applyBorder="1" applyAlignment="1" applyProtection="1"/>
    <xf numFmtId="0" fontId="9" fillId="0" borderId="67" xfId="20" applyBorder="1"/>
    <xf numFmtId="170" fontId="22" fillId="0" borderId="28" xfId="6" applyNumberFormat="1" applyFont="1" applyBorder="1" applyAlignment="1" applyProtection="1"/>
    <xf numFmtId="0" fontId="22" fillId="0" borderId="6" xfId="20" applyNumberFormat="1" applyFont="1" applyBorder="1"/>
    <xf numFmtId="0" fontId="6" fillId="12" borderId="0" xfId="20" applyFont="1" applyFill="1" applyBorder="1"/>
    <xf numFmtId="170" fontId="6" fillId="13" borderId="32" xfId="20" applyNumberFormat="1" applyFont="1" applyFill="1" applyBorder="1"/>
    <xf numFmtId="0" fontId="6" fillId="13" borderId="32" xfId="20" applyFont="1" applyFill="1" applyBorder="1" applyAlignment="1">
      <alignment horizontal="right"/>
    </xf>
    <xf numFmtId="1" fontId="22" fillId="0" borderId="49" xfId="56" applyNumberFormat="1" applyFont="1" applyFill="1" applyBorder="1"/>
    <xf numFmtId="0" fontId="22" fillId="0" borderId="49" xfId="56" applyFont="1" applyFill="1" applyBorder="1"/>
    <xf numFmtId="0" fontId="22" fillId="0" borderId="49" xfId="56" applyFont="1" applyFill="1" applyBorder="1" applyAlignment="1">
      <alignment wrapText="1"/>
    </xf>
    <xf numFmtId="0" fontId="22" fillId="0" borderId="49" xfId="56" applyFont="1" applyBorder="1" applyAlignment="1">
      <alignment wrapText="1"/>
    </xf>
    <xf numFmtId="189" fontId="9" fillId="0" borderId="0" xfId="20" applyNumberFormat="1"/>
    <xf numFmtId="1" fontId="22" fillId="0" borderId="49" xfId="56" applyNumberFormat="1" applyFont="1" applyBorder="1" applyAlignment="1">
      <alignment wrapText="1"/>
    </xf>
    <xf numFmtId="166" fontId="22" fillId="0" borderId="49" xfId="7" applyFont="1" applyFill="1" applyBorder="1" applyAlignment="1">
      <alignment wrapText="1"/>
    </xf>
    <xf numFmtId="189" fontId="9" fillId="0" borderId="0" xfId="20" applyNumberFormat="1" applyFont="1"/>
    <xf numFmtId="0" fontId="9" fillId="0" borderId="49" xfId="20" applyBorder="1" applyAlignment="1">
      <alignment wrapText="1"/>
    </xf>
    <xf numFmtId="0" fontId="6" fillId="13" borderId="49" xfId="20" applyFont="1" applyFill="1" applyBorder="1"/>
    <xf numFmtId="0" fontId="6" fillId="13" borderId="70" xfId="20" applyFont="1" applyFill="1" applyBorder="1"/>
    <xf numFmtId="0" fontId="6" fillId="13" borderId="49" xfId="20" applyFont="1" applyFill="1" applyBorder="1" applyAlignment="1">
      <alignment horizontal="right"/>
    </xf>
    <xf numFmtId="11" fontId="22" fillId="0" borderId="49" xfId="20" applyNumberFormat="1" applyFont="1" applyBorder="1" applyAlignment="1"/>
    <xf numFmtId="0" fontId="22" fillId="0" borderId="49" xfId="20" applyFont="1" applyBorder="1" applyAlignment="1"/>
    <xf numFmtId="0" fontId="22" fillId="0" borderId="70" xfId="20" applyFont="1" applyBorder="1" applyAlignment="1"/>
    <xf numFmtId="0" fontId="6" fillId="13" borderId="32" xfId="20" applyFont="1" applyFill="1" applyBorder="1"/>
    <xf numFmtId="0" fontId="6" fillId="13" borderId="33" xfId="20" applyFont="1" applyFill="1" applyBorder="1"/>
    <xf numFmtId="0" fontId="6" fillId="13" borderId="6" xfId="20" applyFont="1" applyFill="1" applyBorder="1"/>
    <xf numFmtId="0" fontId="6" fillId="13" borderId="36" xfId="20" applyFont="1" applyFill="1" applyBorder="1"/>
    <xf numFmtId="0" fontId="6" fillId="13" borderId="6" xfId="20" applyFont="1" applyFill="1" applyBorder="1" applyAlignment="1">
      <alignment horizontal="left"/>
    </xf>
    <xf numFmtId="170" fontId="6" fillId="13" borderId="32" xfId="20" applyNumberFormat="1" applyFont="1" applyFill="1" applyBorder="1" applyAlignment="1"/>
    <xf numFmtId="0" fontId="8" fillId="0" borderId="49" xfId="4" applyFont="1" applyFill="1" applyBorder="1" applyAlignment="1"/>
    <xf numFmtId="1" fontId="8" fillId="0" borderId="49" xfId="56" applyNumberFormat="1" applyFont="1" applyFill="1" applyBorder="1" applyAlignment="1"/>
    <xf numFmtId="0" fontId="8" fillId="0" borderId="49" xfId="56" applyFont="1" applyFill="1" applyBorder="1" applyAlignment="1"/>
    <xf numFmtId="189" fontId="9" fillId="0" borderId="0" xfId="20" applyNumberFormat="1" applyAlignment="1"/>
    <xf numFmtId="189" fontId="9" fillId="0" borderId="0" xfId="20" applyNumberFormat="1" applyFont="1" applyAlignment="1"/>
    <xf numFmtId="0" fontId="6" fillId="13" borderId="49" xfId="20" applyFont="1" applyFill="1" applyBorder="1" applyAlignment="1"/>
    <xf numFmtId="0" fontId="6" fillId="13" borderId="70" xfId="20" applyFont="1" applyFill="1" applyBorder="1" applyAlignment="1"/>
    <xf numFmtId="187" fontId="22" fillId="0" borderId="6" xfId="6" applyNumberFormat="1" applyFont="1" applyBorder="1" applyAlignment="1" applyProtection="1"/>
    <xf numFmtId="190" fontId="22" fillId="0" borderId="49" xfId="20" applyNumberFormat="1" applyFont="1" applyBorder="1" applyAlignment="1"/>
    <xf numFmtId="0" fontId="6" fillId="13" borderId="32" xfId="20" applyFont="1" applyFill="1" applyBorder="1" applyAlignment="1"/>
    <xf numFmtId="0" fontId="6" fillId="13" borderId="33" xfId="20" applyFont="1" applyFill="1" applyBorder="1" applyAlignment="1"/>
    <xf numFmtId="0" fontId="6" fillId="0" borderId="34" xfId="20" applyFont="1" applyBorder="1" applyAlignment="1"/>
    <xf numFmtId="0" fontId="6" fillId="0" borderId="35" xfId="20" applyFont="1" applyBorder="1" applyAlignment="1"/>
    <xf numFmtId="0" fontId="6" fillId="13" borderId="6" xfId="20" applyFont="1" applyFill="1" applyBorder="1" applyAlignment="1"/>
    <xf numFmtId="0" fontId="6" fillId="13" borderId="36" xfId="20" applyFont="1" applyFill="1" applyBorder="1" applyAlignment="1"/>
    <xf numFmtId="0" fontId="20" fillId="0" borderId="0" xfId="14" applyAlignment="1"/>
    <xf numFmtId="0" fontId="9" fillId="11" borderId="0" xfId="20" applyFill="1"/>
    <xf numFmtId="170" fontId="26" fillId="13" borderId="32" xfId="20" applyNumberFormat="1" applyFont="1" applyFill="1" applyBorder="1"/>
    <xf numFmtId="0" fontId="26" fillId="13" borderId="32" xfId="20" applyFont="1" applyFill="1" applyBorder="1" applyAlignment="1">
      <alignment horizontal="right"/>
    </xf>
    <xf numFmtId="0" fontId="25" fillId="0" borderId="0" xfId="20" applyFont="1" applyBorder="1" applyAlignment="1">
      <alignment wrapText="1"/>
    </xf>
    <xf numFmtId="173" fontId="8" fillId="0" borderId="49" xfId="56" applyNumberFormat="1" applyFont="1" applyFill="1" applyBorder="1" applyAlignment="1">
      <alignment horizontal="right" wrapText="1"/>
    </xf>
    <xf numFmtId="166" fontId="8" fillId="0" borderId="49" xfId="7" applyFont="1" applyFill="1" applyBorder="1"/>
    <xf numFmtId="0" fontId="8" fillId="0" borderId="49" xfId="56" applyFont="1" applyFill="1" applyBorder="1" applyAlignment="1" applyProtection="1">
      <alignment wrapText="1"/>
    </xf>
    <xf numFmtId="0" fontId="26" fillId="13" borderId="49" xfId="20" applyFont="1" applyFill="1" applyBorder="1"/>
    <xf numFmtId="0" fontId="26" fillId="13" borderId="70" xfId="20" applyFont="1" applyFill="1" applyBorder="1"/>
    <xf numFmtId="0" fontId="26" fillId="13" borderId="49" xfId="20" applyFont="1" applyFill="1" applyBorder="1" applyAlignment="1">
      <alignment horizontal="right"/>
    </xf>
    <xf numFmtId="0" fontId="25" fillId="0" borderId="23" xfId="20" applyFont="1" applyBorder="1" applyAlignment="1"/>
    <xf numFmtId="0" fontId="25" fillId="0" borderId="6" xfId="20" applyFont="1" applyBorder="1" applyAlignment="1"/>
    <xf numFmtId="175" fontId="8" fillId="0" borderId="6" xfId="6" applyNumberFormat="1" applyFont="1" applyBorder="1" applyAlignment="1" applyProtection="1"/>
    <xf numFmtId="11" fontId="8" fillId="0" borderId="49" xfId="20" applyNumberFormat="1" applyFont="1" applyBorder="1" applyAlignment="1"/>
    <xf numFmtId="0" fontId="8" fillId="0" borderId="49" xfId="20" applyFont="1" applyBorder="1" applyAlignment="1"/>
    <xf numFmtId="191" fontId="8" fillId="0" borderId="49" xfId="20" applyNumberFormat="1" applyFont="1" applyBorder="1" applyAlignment="1"/>
    <xf numFmtId="166" fontId="8" fillId="0" borderId="49" xfId="60" applyNumberFormat="1" applyFont="1" applyFill="1" applyBorder="1">
      <alignment vertical="center" wrapText="1"/>
    </xf>
    <xf numFmtId="0" fontId="8" fillId="0" borderId="49" xfId="56" applyFont="1" applyFill="1" applyBorder="1" applyAlignment="1">
      <alignment horizontal="left" wrapText="1"/>
    </xf>
    <xf numFmtId="0" fontId="8" fillId="0" borderId="70" xfId="20" applyFont="1" applyBorder="1" applyAlignment="1"/>
    <xf numFmtId="0" fontId="26" fillId="13" borderId="32" xfId="20" applyFont="1" applyFill="1" applyBorder="1"/>
    <xf numFmtId="0" fontId="26" fillId="13" borderId="33" xfId="20" applyFont="1" applyFill="1" applyBorder="1"/>
    <xf numFmtId="0" fontId="26" fillId="0" borderId="34" xfId="20" applyFont="1" applyBorder="1"/>
    <xf numFmtId="0" fontId="26" fillId="0" borderId="35" xfId="20" applyFont="1" applyBorder="1"/>
    <xf numFmtId="0" fontId="26" fillId="13" borderId="6" xfId="20" applyFont="1" applyFill="1" applyBorder="1"/>
    <xf numFmtId="0" fontId="26" fillId="13" borderId="36" xfId="20" applyFont="1" applyFill="1" applyBorder="1"/>
    <xf numFmtId="49" fontId="8" fillId="0" borderId="0" xfId="20" applyNumberFormat="1" applyFont="1" applyBorder="1" applyAlignment="1">
      <alignment horizontal="left"/>
    </xf>
    <xf numFmtId="0" fontId="8" fillId="0" borderId="45" xfId="6" applyNumberFormat="1" applyFont="1" applyBorder="1" applyAlignment="1" applyProtection="1"/>
    <xf numFmtId="0" fontId="26" fillId="13" borderId="28" xfId="20" applyFont="1" applyFill="1" applyBorder="1"/>
    <xf numFmtId="0" fontId="26" fillId="13" borderId="6" xfId="20" applyFont="1" applyFill="1" applyBorder="1" applyAlignment="1">
      <alignment horizontal="left"/>
    </xf>
    <xf numFmtId="11" fontId="3" fillId="0" borderId="49" xfId="56" applyNumberFormat="1" applyFont="1" applyFill="1" applyBorder="1" applyAlignment="1">
      <alignment horizontal="right" wrapText="1"/>
    </xf>
    <xf numFmtId="0" fontId="3" fillId="0" borderId="49" xfId="56" applyFont="1" applyFill="1" applyBorder="1" applyAlignment="1" applyProtection="1">
      <alignment wrapText="1"/>
    </xf>
    <xf numFmtId="0" fontId="3" fillId="0" borderId="49" xfId="56" applyFont="1" applyFill="1" applyBorder="1" applyAlignment="1">
      <alignment horizontal="left" wrapText="1"/>
    </xf>
    <xf numFmtId="0" fontId="8" fillId="6" borderId="49" xfId="56" applyFont="1" applyFill="1" applyBorder="1"/>
    <xf numFmtId="166" fontId="8" fillId="6" borderId="49" xfId="56" applyNumberFormat="1" applyFont="1" applyFill="1" applyBorder="1"/>
    <xf numFmtId="0" fontId="8" fillId="0" borderId="49" xfId="56" applyFont="1" applyBorder="1" applyAlignment="1">
      <alignment wrapText="1"/>
    </xf>
    <xf numFmtId="0" fontId="25" fillId="0" borderId="49" xfId="20" applyFont="1" applyBorder="1"/>
    <xf numFmtId="0" fontId="2" fillId="0" borderId="0" xfId="14" applyFont="1"/>
    <xf numFmtId="11" fontId="8" fillId="0" borderId="49" xfId="56" applyNumberFormat="1" applyFont="1" applyBorder="1" applyAlignment="1">
      <alignment wrapText="1"/>
    </xf>
    <xf numFmtId="166" fontId="8" fillId="0" borderId="49" xfId="1" applyNumberFormat="1" applyFont="1" applyFill="1" applyBorder="1"/>
    <xf numFmtId="0" fontId="8" fillId="0" borderId="49" xfId="56" applyFont="1" applyFill="1" applyBorder="1"/>
    <xf numFmtId="166" fontId="8" fillId="0" borderId="49" xfId="1" applyFont="1" applyFill="1" applyBorder="1"/>
    <xf numFmtId="0" fontId="8" fillId="0" borderId="49" xfId="56" applyNumberFormat="1" applyFont="1" applyFill="1" applyBorder="1"/>
    <xf numFmtId="0" fontId="8" fillId="0" borderId="23" xfId="56" applyFont="1" applyBorder="1" applyAlignment="1"/>
    <xf numFmtId="2" fontId="8" fillId="0" borderId="49" xfId="2" applyNumberFormat="1" applyFont="1" applyFill="1" applyBorder="1" applyAlignment="1"/>
    <xf numFmtId="3" fontId="8" fillId="0" borderId="49" xfId="56" applyNumberFormat="1" applyFont="1" applyBorder="1" applyAlignment="1"/>
    <xf numFmtId="181" fontId="8" fillId="0" borderId="49" xfId="2" applyNumberFormat="1" applyFont="1" applyFill="1" applyBorder="1" applyAlignment="1"/>
    <xf numFmtId="11" fontId="8" fillId="0" borderId="49" xfId="25" applyNumberFormat="1" applyFont="1" applyFill="1" applyBorder="1" applyAlignment="1"/>
    <xf numFmtId="11" fontId="8" fillId="0" borderId="49" xfId="56" applyNumberFormat="1" applyFont="1" applyFill="1" applyBorder="1" applyAlignment="1">
      <alignment wrapText="1"/>
    </xf>
    <xf numFmtId="0" fontId="8" fillId="0" borderId="49" xfId="56" applyNumberFormat="1" applyFont="1" applyFill="1" applyBorder="1" applyAlignment="1"/>
    <xf numFmtId="0" fontId="8" fillId="0" borderId="49" xfId="56" applyFont="1" applyFill="1" applyBorder="1" applyAlignment="1" applyProtection="1"/>
    <xf numFmtId="0" fontId="8" fillId="0" borderId="45" xfId="20" applyFont="1" applyBorder="1"/>
    <xf numFmtId="0" fontId="36" fillId="0" borderId="10" xfId="20" applyFont="1" applyBorder="1"/>
    <xf numFmtId="0" fontId="36" fillId="0" borderId="9" xfId="20" applyFont="1" applyBorder="1"/>
    <xf numFmtId="0" fontId="36" fillId="0" borderId="8" xfId="20" applyFont="1" applyBorder="1"/>
    <xf numFmtId="0" fontId="36" fillId="0" borderId="4" xfId="20" applyFont="1" applyBorder="1"/>
    <xf numFmtId="0" fontId="36" fillId="0" borderId="0" xfId="20" applyFont="1" applyBorder="1"/>
    <xf numFmtId="166" fontId="26" fillId="14" borderId="54" xfId="44" applyNumberFormat="1" applyFont="1" applyFill="1" applyBorder="1"/>
    <xf numFmtId="0" fontId="37" fillId="14" borderId="32" xfId="44" applyFont="1" applyFill="1" applyBorder="1" applyAlignment="1">
      <alignment horizontal="right"/>
    </xf>
    <xf numFmtId="0" fontId="37" fillId="0" borderId="0" xfId="44" applyFont="1" applyBorder="1"/>
    <xf numFmtId="0" fontId="37" fillId="0" borderId="5" xfId="44" applyFont="1" applyBorder="1"/>
    <xf numFmtId="0" fontId="38" fillId="0" borderId="0" xfId="20" applyFont="1" applyBorder="1"/>
    <xf numFmtId="166" fontId="38" fillId="0" borderId="49" xfId="7" applyNumberFormat="1" applyFont="1" applyFill="1" applyBorder="1" applyAlignment="1"/>
    <xf numFmtId="0" fontId="38" fillId="0" borderId="49" xfId="30" applyFont="1" applyBorder="1"/>
    <xf numFmtId="0" fontId="38" fillId="0" borderId="49" xfId="4" applyFont="1" applyFill="1" applyBorder="1" applyAlignment="1">
      <alignment wrapText="1"/>
    </xf>
    <xf numFmtId="11" fontId="38" fillId="0" borderId="49" xfId="30" applyNumberFormat="1" applyFont="1" applyBorder="1"/>
    <xf numFmtId="184" fontId="38" fillId="0" borderId="49" xfId="61" applyNumberFormat="1" applyFont="1" applyBorder="1"/>
    <xf numFmtId="0" fontId="38" fillId="0" borderId="49" xfId="44" applyFont="1" applyBorder="1"/>
    <xf numFmtId="0" fontId="38" fillId="0" borderId="65" xfId="30" applyFont="1" applyBorder="1"/>
    <xf numFmtId="0" fontId="39" fillId="0" borderId="0" xfId="44" applyFont="1" applyBorder="1"/>
    <xf numFmtId="0" fontId="38" fillId="6" borderId="49" xfId="30" applyFont="1" applyFill="1" applyBorder="1"/>
    <xf numFmtId="166" fontId="38" fillId="6" borderId="49" xfId="30" applyNumberFormat="1" applyFont="1" applyFill="1" applyBorder="1"/>
    <xf numFmtId="0" fontId="38" fillId="0" borderId="65" xfId="30" applyFont="1" applyFill="1" applyBorder="1"/>
    <xf numFmtId="0" fontId="40" fillId="0" borderId="0" xfId="44" applyFont="1" applyBorder="1"/>
    <xf numFmtId="0" fontId="38" fillId="0" borderId="0" xfId="44" applyFont="1" applyBorder="1"/>
    <xf numFmtId="0" fontId="38" fillId="0" borderId="49" xfId="30" applyFont="1" applyBorder="1" applyAlignment="1">
      <alignment wrapText="1"/>
    </xf>
    <xf numFmtId="0" fontId="40" fillId="0" borderId="49" xfId="4" applyFont="1" applyFill="1" applyBorder="1" applyAlignment="1">
      <alignment wrapText="1"/>
    </xf>
    <xf numFmtId="166" fontId="40" fillId="0" borderId="49" xfId="7" applyNumberFormat="1" applyFont="1" applyFill="1" applyBorder="1" applyAlignment="1"/>
    <xf numFmtId="178" fontId="38" fillId="0" borderId="49" xfId="30" applyNumberFormat="1" applyFont="1" applyFill="1" applyBorder="1"/>
    <xf numFmtId="0" fontId="38" fillId="0" borderId="64" xfId="4" applyFont="1" applyFill="1" applyBorder="1" applyAlignment="1">
      <alignment wrapText="1"/>
    </xf>
    <xf numFmtId="166" fontId="38" fillId="0" borderId="67" xfId="7" applyFont="1" applyFill="1" applyBorder="1"/>
    <xf numFmtId="0" fontId="38" fillId="0" borderId="67" xfId="44" applyFont="1" applyBorder="1"/>
    <xf numFmtId="166" fontId="40" fillId="0" borderId="67" xfId="7" applyNumberFormat="1" applyFont="1" applyFill="1" applyBorder="1" applyAlignment="1"/>
    <xf numFmtId="0" fontId="38" fillId="0" borderId="67" xfId="30" applyFont="1" applyBorder="1"/>
    <xf numFmtId="0" fontId="38" fillId="0" borderId="67" xfId="30" applyFont="1" applyBorder="1" applyAlignment="1">
      <alignment wrapText="1"/>
    </xf>
    <xf numFmtId="0" fontId="38" fillId="0" borderId="67" xfId="4" applyFont="1" applyFill="1" applyBorder="1" applyAlignment="1">
      <alignment wrapText="1"/>
    </xf>
    <xf numFmtId="0" fontId="37" fillId="14" borderId="48" xfId="44" applyFont="1" applyFill="1" applyBorder="1"/>
    <xf numFmtId="0" fontId="37" fillId="14" borderId="65" xfId="44" applyFont="1" applyFill="1" applyBorder="1"/>
    <xf numFmtId="0" fontId="40" fillId="0" borderId="5" xfId="44" applyFont="1" applyBorder="1"/>
    <xf numFmtId="168" fontId="26" fillId="14" borderId="54" xfId="44" applyNumberFormat="1" applyFont="1" applyFill="1" applyBorder="1"/>
    <xf numFmtId="166" fontId="40" fillId="0" borderId="67" xfId="1" applyNumberFormat="1" applyFont="1" applyFill="1" applyBorder="1"/>
    <xf numFmtId="0" fontId="40" fillId="0" borderId="67" xfId="29" applyNumberFormat="1" applyFont="1" applyFill="1" applyBorder="1"/>
    <xf numFmtId="165" fontId="40" fillId="0" borderId="67" xfId="29" applyFont="1" applyFill="1" applyBorder="1"/>
    <xf numFmtId="11" fontId="40" fillId="0" borderId="67" xfId="29" applyNumberFormat="1" applyFont="1" applyFill="1" applyBorder="1"/>
    <xf numFmtId="11" fontId="40" fillId="0" borderId="67" xfId="30" applyNumberFormat="1" applyFont="1" applyFill="1" applyBorder="1" applyAlignment="1">
      <alignment wrapText="1"/>
    </xf>
    <xf numFmtId="0" fontId="40" fillId="0" borderId="67" xfId="30" applyFont="1" applyFill="1" applyBorder="1"/>
    <xf numFmtId="0" fontId="40" fillId="0" borderId="67" xfId="44" applyFont="1" applyFill="1" applyBorder="1" applyAlignment="1" applyProtection="1">
      <alignment vertical="center" wrapText="1"/>
    </xf>
    <xf numFmtId="11" fontId="38" fillId="0" borderId="67" xfId="44" applyNumberFormat="1" applyFont="1" applyBorder="1"/>
    <xf numFmtId="166" fontId="40" fillId="0" borderId="67" xfId="62" applyFont="1" applyFill="1" applyBorder="1">
      <alignment vertical="center" wrapText="1"/>
    </xf>
    <xf numFmtId="0" fontId="40" fillId="0" borderId="67" xfId="30" applyFont="1" applyFill="1" applyBorder="1" applyAlignment="1">
      <alignment horizontal="left"/>
    </xf>
    <xf numFmtId="0" fontId="40" fillId="0" borderId="67" xfId="30" applyFont="1" applyFill="1" applyBorder="1" applyAlignment="1" applyProtection="1">
      <alignment wrapText="1"/>
    </xf>
    <xf numFmtId="0" fontId="40" fillId="0" borderId="65" xfId="30" applyFont="1" applyFill="1" applyBorder="1"/>
    <xf numFmtId="173" fontId="40" fillId="0" borderId="67" xfId="30" applyNumberFormat="1" applyFont="1" applyFill="1" applyBorder="1"/>
    <xf numFmtId="166" fontId="40" fillId="0" borderId="67" xfId="7" applyFont="1" applyFill="1" applyBorder="1"/>
    <xf numFmtId="0" fontId="37" fillId="13" borderId="41" xfId="20" applyFont="1" applyFill="1" applyBorder="1"/>
    <xf numFmtId="0" fontId="40" fillId="0" borderId="0" xfId="20" applyFont="1" applyBorder="1"/>
    <xf numFmtId="0" fontId="37" fillId="13" borderId="6" xfId="20" applyFont="1" applyFill="1" applyBorder="1"/>
    <xf numFmtId="49" fontId="40" fillId="0" borderId="0" xfId="20" applyNumberFormat="1" applyFont="1" applyBorder="1" applyAlignment="1">
      <alignment horizontal="left"/>
    </xf>
    <xf numFmtId="166" fontId="40" fillId="0" borderId="0" xfId="44" applyNumberFormat="1" applyFont="1" applyBorder="1"/>
    <xf numFmtId="0" fontId="37" fillId="14" borderId="67" xfId="44" applyFont="1" applyFill="1" applyBorder="1"/>
    <xf numFmtId="0" fontId="40" fillId="0" borderId="6" xfId="20" applyFont="1" applyBorder="1"/>
    <xf numFmtId="0" fontId="41" fillId="0" borderId="0" xfId="14" applyFont="1" applyBorder="1"/>
    <xf numFmtId="37" fontId="40" fillId="0" borderId="0" xfId="44" applyNumberFormat="1" applyFont="1" applyBorder="1"/>
    <xf numFmtId="0" fontId="40" fillId="0" borderId="0" xfId="44" applyFont="1" applyBorder="1" applyAlignment="1">
      <alignment horizontal="right"/>
    </xf>
    <xf numFmtId="0" fontId="36" fillId="0" borderId="3" xfId="20" applyFont="1" applyBorder="1"/>
    <xf numFmtId="0" fontId="36" fillId="0" borderId="2" xfId="20" applyFont="1" applyBorder="1"/>
    <xf numFmtId="0" fontId="36" fillId="0" borderId="1" xfId="20" applyFont="1" applyBorder="1"/>
    <xf numFmtId="0" fontId="26" fillId="14" borderId="32" xfId="44" applyFont="1" applyFill="1" applyBorder="1" applyAlignment="1">
      <alignment horizontal="right"/>
    </xf>
    <xf numFmtId="0" fontId="26" fillId="0" borderId="0" xfId="44" applyFont="1" applyBorder="1"/>
    <xf numFmtId="0" fontId="26" fillId="0" borderId="5" xfId="44" applyFont="1" applyBorder="1"/>
    <xf numFmtId="166" fontId="35" fillId="0" borderId="67" xfId="7" applyNumberFormat="1" applyFont="1" applyFill="1" applyBorder="1" applyAlignment="1"/>
    <xf numFmtId="0" fontId="35" fillId="0" borderId="67" xfId="30" applyFont="1" applyBorder="1"/>
    <xf numFmtId="0" fontId="35" fillId="0" borderId="67" xfId="4" applyFont="1" applyFill="1" applyBorder="1" applyAlignment="1">
      <alignment wrapText="1"/>
    </xf>
    <xf numFmtId="11" fontId="38" fillId="0" borderId="67" xfId="30" applyNumberFormat="1" applyFont="1" applyBorder="1"/>
    <xf numFmtId="184" fontId="38" fillId="0" borderId="67" xfId="61" applyNumberFormat="1" applyFont="1" applyBorder="1"/>
    <xf numFmtId="0" fontId="35" fillId="0" borderId="65" xfId="30" applyFont="1" applyBorder="1"/>
    <xf numFmtId="0" fontId="35" fillId="6" borderId="67" xfId="30" applyFont="1" applyFill="1" applyBorder="1"/>
    <xf numFmtId="166" fontId="35" fillId="6" borderId="67" xfId="30" applyNumberFormat="1" applyFont="1" applyFill="1" applyBorder="1"/>
    <xf numFmtId="0" fontId="35" fillId="0" borderId="65" xfId="30" applyFont="1" applyFill="1" applyBorder="1"/>
    <xf numFmtId="0" fontId="8" fillId="0" borderId="0" xfId="44" applyFont="1" applyBorder="1"/>
    <xf numFmtId="0" fontId="35" fillId="0" borderId="67" xfId="30" applyFont="1" applyBorder="1" applyAlignment="1">
      <alignment wrapText="1"/>
    </xf>
    <xf numFmtId="0" fontId="3" fillId="0" borderId="67" xfId="4" applyFont="1" applyFill="1" applyBorder="1" applyAlignment="1">
      <alignment wrapText="1"/>
    </xf>
    <xf numFmtId="166" fontId="3" fillId="0" borderId="67" xfId="7" applyNumberFormat="1" applyFont="1" applyFill="1" applyBorder="1" applyAlignment="1"/>
    <xf numFmtId="178" fontId="35" fillId="0" borderId="67" xfId="30" applyNumberFormat="1" applyFont="1" applyFill="1" applyBorder="1"/>
    <xf numFmtId="0" fontId="35" fillId="0" borderId="64" xfId="4" applyFont="1" applyFill="1" applyBorder="1" applyAlignment="1">
      <alignment wrapText="1"/>
    </xf>
    <xf numFmtId="166" fontId="35" fillId="0" borderId="67" xfId="7" applyFont="1" applyFill="1" applyBorder="1"/>
    <xf numFmtId="0" fontId="26" fillId="14" borderId="48" xfId="44" applyFont="1" applyFill="1" applyBorder="1"/>
    <xf numFmtId="0" fontId="26" fillId="14" borderId="65" xfId="44" applyFont="1" applyFill="1" applyBorder="1"/>
    <xf numFmtId="0" fontId="8" fillId="0" borderId="5" xfId="44" applyFont="1" applyBorder="1"/>
    <xf numFmtId="166" fontId="3" fillId="0" borderId="67" xfId="1" applyNumberFormat="1" applyFont="1" applyFill="1" applyBorder="1"/>
    <xf numFmtId="0" fontId="3" fillId="0" borderId="67" xfId="29" applyNumberFormat="1" applyFont="1" applyFill="1" applyBorder="1"/>
    <xf numFmtId="165" fontId="3" fillId="0" borderId="67" xfId="29" applyFont="1" applyFill="1" applyBorder="1"/>
    <xf numFmtId="11" fontId="3" fillId="0" borderId="67" xfId="29" applyNumberFormat="1" applyFont="1" applyFill="1" applyBorder="1"/>
    <xf numFmtId="11" fontId="3" fillId="0" borderId="67" xfId="30" applyNumberFormat="1" applyFont="1" applyFill="1" applyBorder="1" applyAlignment="1">
      <alignment wrapText="1"/>
    </xf>
    <xf numFmtId="0" fontId="3" fillId="0" borderId="67" xfId="30" applyFont="1" applyFill="1" applyBorder="1"/>
    <xf numFmtId="0" fontId="3" fillId="0" borderId="67" xfId="44" applyFont="1" applyFill="1" applyBorder="1" applyAlignment="1" applyProtection="1">
      <alignment vertical="center" wrapText="1"/>
    </xf>
    <xf numFmtId="11" fontId="1" fillId="0" borderId="67" xfId="44" applyNumberFormat="1" applyBorder="1"/>
    <xf numFmtId="166" fontId="8" fillId="0" borderId="67" xfId="62" applyFont="1" applyFill="1" applyBorder="1">
      <alignment vertical="center" wrapText="1"/>
    </xf>
    <xf numFmtId="0" fontId="3" fillId="0" borderId="67" xfId="30" applyFont="1" applyFill="1" applyBorder="1" applyAlignment="1">
      <alignment horizontal="left"/>
    </xf>
    <xf numFmtId="0" fontId="3" fillId="0" borderId="67" xfId="30" applyFont="1" applyFill="1" applyBorder="1" applyAlignment="1" applyProtection="1">
      <alignment wrapText="1"/>
    </xf>
    <xf numFmtId="0" fontId="3" fillId="0" borderId="65" xfId="30" applyFont="1" applyFill="1" applyBorder="1"/>
    <xf numFmtId="173" fontId="3" fillId="0" borderId="67" xfId="30" applyNumberFormat="1" applyFont="1" applyFill="1" applyBorder="1"/>
    <xf numFmtId="166" fontId="3" fillId="0" borderId="67" xfId="7" applyFont="1" applyFill="1" applyBorder="1"/>
    <xf numFmtId="0" fontId="6" fillId="13" borderId="41" xfId="20" applyFont="1" applyFill="1" applyBorder="1"/>
    <xf numFmtId="0" fontId="26" fillId="14" borderId="67" xfId="44" applyFont="1" applyFill="1" applyBorder="1"/>
    <xf numFmtId="37" fontId="8" fillId="0" borderId="0" xfId="44" applyNumberFormat="1" applyFont="1" applyBorder="1"/>
    <xf numFmtId="0" fontId="8" fillId="0" borderId="0" xfId="44" applyFont="1" applyBorder="1" applyAlignment="1">
      <alignment horizontal="right"/>
    </xf>
    <xf numFmtId="166" fontId="8" fillId="0" borderId="0" xfId="44" applyNumberFormat="1" applyFont="1" applyBorder="1"/>
    <xf numFmtId="0" fontId="22" fillId="0" borderId="45" xfId="20" applyFont="1" applyBorder="1"/>
    <xf numFmtId="0" fontId="6" fillId="13" borderId="46" xfId="20" applyFont="1" applyFill="1" applyBorder="1"/>
    <xf numFmtId="0" fontId="3" fillId="0" borderId="67" xfId="56" applyFont="1" applyFill="1" applyBorder="1"/>
    <xf numFmtId="166" fontId="3" fillId="0" borderId="67" xfId="1" applyFont="1" applyFill="1" applyBorder="1"/>
    <xf numFmtId="170" fontId="26" fillId="12" borderId="6" xfId="20" applyNumberFormat="1" applyFont="1" applyFill="1" applyBorder="1"/>
    <xf numFmtId="0" fontId="26" fillId="12" borderId="6" xfId="20" applyFont="1" applyFill="1" applyBorder="1" applyAlignment="1">
      <alignment horizontal="right"/>
    </xf>
    <xf numFmtId="0" fontId="25" fillId="0" borderId="6" xfId="6" applyNumberFormat="1" applyFont="1" applyBorder="1" applyAlignment="1">
      <alignment wrapText="1"/>
    </xf>
    <xf numFmtId="0" fontId="26" fillId="12" borderId="6" xfId="20" applyFont="1" applyFill="1" applyBorder="1"/>
    <xf numFmtId="0" fontId="33" fillId="0" borderId="67" xfId="56" applyBorder="1"/>
    <xf numFmtId="0" fontId="8" fillId="0" borderId="67" xfId="56" applyFont="1" applyBorder="1"/>
    <xf numFmtId="0" fontId="3" fillId="0" borderId="67" xfId="56" applyNumberFormat="1" applyFont="1" applyFill="1" applyBorder="1" applyAlignment="1">
      <alignment wrapText="1"/>
    </xf>
    <xf numFmtId="0" fontId="3" fillId="0" borderId="67" xfId="56" applyFont="1" applyFill="1" applyBorder="1" applyAlignment="1">
      <alignment wrapText="1"/>
    </xf>
    <xf numFmtId="170" fontId="26" fillId="12" borderId="24" xfId="20" applyNumberFormat="1" applyFont="1" applyFill="1" applyBorder="1"/>
    <xf numFmtId="0" fontId="26" fillId="12" borderId="24" xfId="20" applyFont="1" applyFill="1" applyBorder="1"/>
    <xf numFmtId="0" fontId="25" fillId="0" borderId="49" xfId="20" applyFont="1" applyBorder="1" applyAlignment="1"/>
    <xf numFmtId="179" fontId="8" fillId="0" borderId="49" xfId="6" applyNumberFormat="1" applyFont="1" applyBorder="1" applyAlignment="1" applyProtection="1"/>
    <xf numFmtId="2" fontId="8" fillId="0" borderId="49" xfId="6" applyNumberFormat="1" applyFont="1" applyBorder="1" applyAlignment="1" applyProtection="1"/>
    <xf numFmtId="0" fontId="8" fillId="0" borderId="49" xfId="58" applyFont="1" applyFill="1" applyBorder="1" applyAlignment="1">
      <alignment wrapText="1"/>
    </xf>
    <xf numFmtId="0" fontId="8" fillId="0" borderId="49" xfId="58" applyFont="1" applyFill="1" applyBorder="1"/>
    <xf numFmtId="177" fontId="8" fillId="0" borderId="49" xfId="6" applyNumberFormat="1" applyFont="1" applyBorder="1" applyAlignment="1" applyProtection="1"/>
    <xf numFmtId="180" fontId="8" fillId="0" borderId="49" xfId="6" applyNumberFormat="1" applyFont="1" applyBorder="1" applyAlignment="1" applyProtection="1"/>
    <xf numFmtId="176" fontId="8" fillId="0" borderId="49" xfId="6" applyNumberFormat="1" applyFont="1" applyBorder="1" applyAlignment="1" applyProtection="1"/>
    <xf numFmtId="11" fontId="8" fillId="0" borderId="49" xfId="20" applyNumberFormat="1" applyFont="1" applyBorder="1"/>
    <xf numFmtId="166" fontId="8" fillId="0" borderId="67" xfId="59" applyFont="1" applyFill="1" applyBorder="1">
      <alignment vertical="center" wrapText="1"/>
    </xf>
    <xf numFmtId="0" fontId="8" fillId="0" borderId="67" xfId="20" applyFont="1" applyBorder="1"/>
    <xf numFmtId="0" fontId="26" fillId="12" borderId="26" xfId="20" applyFont="1" applyFill="1" applyBorder="1"/>
    <xf numFmtId="0" fontId="26" fillId="12" borderId="24" xfId="20" applyFont="1" applyFill="1" applyBorder="1" applyAlignment="1">
      <alignment horizontal="right"/>
    </xf>
    <xf numFmtId="170" fontId="8" fillId="0" borderId="67" xfId="6" applyNumberFormat="1" applyFont="1" applyBorder="1" applyAlignment="1" applyProtection="1"/>
    <xf numFmtId="0" fontId="8" fillId="0" borderId="67" xfId="20" applyFont="1" applyFill="1" applyBorder="1"/>
    <xf numFmtId="0" fontId="20" fillId="0" borderId="67" xfId="14" applyBorder="1"/>
    <xf numFmtId="0" fontId="8" fillId="0" borderId="26" xfId="20" applyNumberFormat="1" applyFont="1" applyBorder="1"/>
    <xf numFmtId="0" fontId="2" fillId="0" borderId="26" xfId="14" applyNumberFormat="1" applyFont="1" applyBorder="1" applyAlignment="1" applyProtection="1"/>
    <xf numFmtId="0" fontId="2" fillId="0" borderId="6" xfId="14" applyNumberFormat="1" applyFont="1" applyBorder="1" applyAlignment="1" applyProtection="1"/>
    <xf numFmtId="0" fontId="8" fillId="0" borderId="6" xfId="20" applyNumberFormat="1" applyFont="1" applyBorder="1"/>
    <xf numFmtId="0" fontId="26" fillId="12" borderId="0" xfId="20" applyFont="1" applyFill="1" applyBorder="1"/>
    <xf numFmtId="0" fontId="9" fillId="0" borderId="0" xfId="30"/>
    <xf numFmtId="0" fontId="9" fillId="0" borderId="23" xfId="30" applyBorder="1"/>
    <xf numFmtId="0" fontId="9" fillId="6" borderId="0" xfId="30" applyFill="1" applyBorder="1"/>
    <xf numFmtId="0" fontId="3" fillId="0" borderId="49" xfId="30" applyFont="1" applyBorder="1"/>
    <xf numFmtId="166" fontId="3" fillId="0" borderId="49" xfId="7" applyNumberFormat="1" applyFont="1" applyFill="1" applyBorder="1" applyAlignment="1">
      <alignment wrapText="1"/>
    </xf>
    <xf numFmtId="0" fontId="3" fillId="0" borderId="49" xfId="30" applyFont="1" applyBorder="1" applyAlignment="1">
      <alignment wrapText="1"/>
    </xf>
    <xf numFmtId="0" fontId="9" fillId="0" borderId="23" xfId="30" applyFont="1" applyBorder="1"/>
    <xf numFmtId="0" fontId="9" fillId="0" borderId="23" xfId="30" applyBorder="1" applyAlignment="1">
      <alignment wrapText="1"/>
    </xf>
    <xf numFmtId="11" fontId="3" fillId="0" borderId="49" xfId="30" applyNumberFormat="1" applyFont="1" applyFill="1" applyBorder="1" applyAlignment="1">
      <alignment wrapText="1"/>
    </xf>
    <xf numFmtId="0" fontId="3" fillId="0" borderId="49" xfId="30" applyFont="1" applyFill="1" applyBorder="1" applyAlignment="1"/>
    <xf numFmtId="0" fontId="3" fillId="0" borderId="49" xfId="30" applyNumberFormat="1" applyFont="1" applyFill="1" applyBorder="1" applyAlignment="1"/>
    <xf numFmtId="0" fontId="3" fillId="0" borderId="49" xfId="30" applyFont="1" applyFill="1" applyBorder="1" applyAlignment="1" applyProtection="1"/>
    <xf numFmtId="2" fontId="3" fillId="0" borderId="49" xfId="56" applyNumberFormat="1" applyFont="1" applyFill="1" applyBorder="1" applyAlignment="1">
      <alignment horizontal="right" wrapText="1"/>
    </xf>
    <xf numFmtId="191" fontId="22" fillId="0" borderId="49" xfId="20" applyNumberFormat="1" applyFont="1" applyBorder="1" applyAlignment="1"/>
    <xf numFmtId="173" fontId="3" fillId="0" borderId="49" xfId="56" applyNumberFormat="1" applyFont="1" applyFill="1" applyBorder="1" applyAlignment="1">
      <alignment horizontal="right" wrapText="1"/>
    </xf>
    <xf numFmtId="0" fontId="36" fillId="0" borderId="20" xfId="20" applyFont="1" applyBorder="1"/>
    <xf numFmtId="0" fontId="36" fillId="0" borderId="21" xfId="20" applyFont="1" applyBorder="1"/>
    <xf numFmtId="0" fontId="36" fillId="0" borderId="22" xfId="20" applyFont="1" applyBorder="1"/>
    <xf numFmtId="0" fontId="36" fillId="0" borderId="23" xfId="20" applyFont="1" applyBorder="1"/>
    <xf numFmtId="0" fontId="37" fillId="0" borderId="0" xfId="20" applyFont="1" applyBorder="1"/>
    <xf numFmtId="170" fontId="37" fillId="13" borderId="32" xfId="20" applyNumberFormat="1" applyFont="1" applyFill="1" applyBorder="1"/>
    <xf numFmtId="0" fontId="37" fillId="13" borderId="32" xfId="20" applyFont="1" applyFill="1" applyBorder="1" applyAlignment="1">
      <alignment horizontal="right"/>
    </xf>
    <xf numFmtId="0" fontId="37" fillId="0" borderId="25" xfId="20" applyFont="1" applyBorder="1"/>
    <xf numFmtId="0" fontId="37" fillId="13" borderId="49" xfId="20" applyFont="1" applyFill="1" applyBorder="1"/>
    <xf numFmtId="0" fontId="37" fillId="13" borderId="70" xfId="20" applyFont="1" applyFill="1" applyBorder="1"/>
    <xf numFmtId="0" fontId="36" fillId="0" borderId="25" xfId="20" applyFont="1" applyBorder="1"/>
    <xf numFmtId="0" fontId="37" fillId="13" borderId="49" xfId="20" applyFont="1" applyFill="1" applyBorder="1" applyAlignment="1">
      <alignment horizontal="right"/>
    </xf>
    <xf numFmtId="0" fontId="36" fillId="0" borderId="23" xfId="20" applyFont="1" applyBorder="1" applyAlignment="1"/>
    <xf numFmtId="170" fontId="40" fillId="0" borderId="49" xfId="6" applyNumberFormat="1" applyFont="1" applyBorder="1" applyAlignment="1" applyProtection="1"/>
    <xf numFmtId="1" fontId="40" fillId="0" borderId="49" xfId="6" applyNumberFormat="1" applyFont="1" applyBorder="1" applyAlignment="1" applyProtection="1"/>
    <xf numFmtId="0" fontId="36" fillId="0" borderId="6" xfId="20" applyFont="1" applyBorder="1" applyAlignment="1"/>
    <xf numFmtId="11" fontId="40" fillId="0" borderId="6" xfId="6" applyNumberFormat="1" applyFont="1" applyBorder="1" applyAlignment="1" applyProtection="1"/>
    <xf numFmtId="11" fontId="40" fillId="0" borderId="49" xfId="20" applyNumberFormat="1" applyFont="1" applyBorder="1" applyAlignment="1"/>
    <xf numFmtId="175" fontId="40" fillId="0" borderId="49" xfId="6" applyNumberFormat="1" applyFont="1" applyBorder="1" applyAlignment="1" applyProtection="1"/>
    <xf numFmtId="0" fontId="40" fillId="0" borderId="49" xfId="20" applyFont="1" applyBorder="1" applyAlignment="1"/>
    <xf numFmtId="189" fontId="40" fillId="0" borderId="49" xfId="20" applyNumberFormat="1" applyFont="1" applyBorder="1" applyAlignment="1"/>
    <xf numFmtId="0" fontId="36" fillId="0" borderId="49" xfId="20" applyFont="1" applyBorder="1"/>
    <xf numFmtId="0" fontId="40" fillId="0" borderId="70" xfId="20" applyFont="1" applyBorder="1" applyAlignment="1"/>
    <xf numFmtId="0" fontId="37" fillId="13" borderId="32" xfId="20" applyFont="1" applyFill="1" applyBorder="1"/>
    <xf numFmtId="0" fontId="37" fillId="13" borderId="33" xfId="20" applyFont="1" applyFill="1" applyBorder="1"/>
    <xf numFmtId="0" fontId="37" fillId="0" borderId="34" xfId="20" applyFont="1" applyBorder="1"/>
    <xf numFmtId="0" fontId="37" fillId="0" borderId="35" xfId="20" applyFont="1" applyBorder="1"/>
    <xf numFmtId="0" fontId="37" fillId="13" borderId="36" xfId="20" applyFont="1" applyFill="1" applyBorder="1"/>
    <xf numFmtId="170" fontId="40" fillId="0" borderId="6" xfId="6" applyNumberFormat="1" applyFont="1" applyBorder="1" applyAlignment="1" applyProtection="1"/>
    <xf numFmtId="0" fontId="40" fillId="0" borderId="0" xfId="20" applyFont="1" applyBorder="1" applyAlignment="1">
      <alignment horizontal="left"/>
    </xf>
    <xf numFmtId="37" fontId="40" fillId="0" borderId="6" xfId="6" applyNumberFormat="1" applyFont="1" applyBorder="1" applyAlignment="1" applyProtection="1"/>
    <xf numFmtId="0" fontId="41" fillId="0" borderId="0" xfId="14" applyFont="1"/>
    <xf numFmtId="0" fontId="40" fillId="0" borderId="6" xfId="20" applyFont="1" applyBorder="1" applyAlignment="1">
      <alignment horizontal="right"/>
    </xf>
    <xf numFmtId="0" fontId="37" fillId="13" borderId="6" xfId="20" applyFont="1" applyFill="1" applyBorder="1" applyAlignment="1">
      <alignment horizontal="left"/>
    </xf>
    <xf numFmtId="0" fontId="36" fillId="0" borderId="29" xfId="20" applyFont="1" applyBorder="1"/>
    <xf numFmtId="0" fontId="36" fillId="0" borderId="30" xfId="20" applyFont="1" applyBorder="1"/>
    <xf numFmtId="0" fontId="36" fillId="0" borderId="31" xfId="20" applyFont="1" applyBorder="1"/>
    <xf numFmtId="166" fontId="38" fillId="0" borderId="67" xfId="7" applyNumberFormat="1" applyFont="1" applyFill="1" applyBorder="1" applyAlignment="1"/>
    <xf numFmtId="0" fontId="38" fillId="6" borderId="67" xfId="30" applyFont="1" applyFill="1" applyBorder="1"/>
    <xf numFmtId="166" fontId="38" fillId="6" borderId="67" xfId="30" applyNumberFormat="1" applyFont="1" applyFill="1" applyBorder="1"/>
    <xf numFmtId="0" fontId="40" fillId="0" borderId="67" xfId="4" applyFont="1" applyFill="1" applyBorder="1" applyAlignment="1">
      <alignment wrapText="1"/>
    </xf>
    <xf numFmtId="178" fontId="38" fillId="0" borderId="67" xfId="30" applyNumberFormat="1" applyFont="1" applyFill="1" applyBorder="1"/>
    <xf numFmtId="0" fontId="38" fillId="0" borderId="67" xfId="44" applyFont="1" applyBorder="1" applyAlignment="1">
      <alignment wrapText="1"/>
    </xf>
    <xf numFmtId="0" fontId="9" fillId="0" borderId="0" xfId="63"/>
    <xf numFmtId="0" fontId="9" fillId="0" borderId="0" xfId="63" applyBorder="1"/>
    <xf numFmtId="0" fontId="9" fillId="0" borderId="20" xfId="63" applyBorder="1"/>
    <xf numFmtId="0" fontId="9" fillId="0" borderId="21" xfId="63" applyBorder="1"/>
    <xf numFmtId="0" fontId="9" fillId="0" borderId="22" xfId="63" applyBorder="1"/>
    <xf numFmtId="0" fontId="9" fillId="0" borderId="23" xfId="63" applyBorder="1"/>
    <xf numFmtId="0" fontId="9" fillId="0" borderId="25" xfId="63" applyBorder="1"/>
    <xf numFmtId="170" fontId="6" fillId="12" borderId="6" xfId="63" applyNumberFormat="1" applyFont="1" applyFill="1" applyBorder="1"/>
    <xf numFmtId="0" fontId="6" fillId="12" borderId="6" xfId="63" applyFont="1" applyFill="1" applyBorder="1" applyAlignment="1">
      <alignment horizontal="right"/>
    </xf>
    <xf numFmtId="0" fontId="6" fillId="0" borderId="0" xfId="63" applyFont="1" applyBorder="1"/>
    <xf numFmtId="0" fontId="6" fillId="0" borderId="25" xfId="63" applyFont="1" applyBorder="1"/>
    <xf numFmtId="0" fontId="9" fillId="0" borderId="0" xfId="63" applyBorder="1" applyAlignment="1">
      <alignment wrapText="1"/>
    </xf>
    <xf numFmtId="170" fontId="3" fillId="0" borderId="72" xfId="57" applyFont="1" applyFill="1" applyBorder="1" applyAlignment="1" applyProtection="1"/>
    <xf numFmtId="37" fontId="3" fillId="0" borderId="72" xfId="57" applyNumberFormat="1" applyFont="1" applyFill="1" applyBorder="1" applyAlignment="1" applyProtection="1"/>
    <xf numFmtId="0" fontId="3" fillId="0" borderId="72" xfId="64" applyNumberFormat="1" applyFont="1" applyFill="1" applyBorder="1"/>
    <xf numFmtId="0" fontId="3" fillId="0" borderId="72" xfId="64" applyFont="1" applyFill="1" applyBorder="1"/>
    <xf numFmtId="39" fontId="3" fillId="0" borderId="72" xfId="57" applyNumberFormat="1" applyFont="1" applyFill="1" applyBorder="1" applyAlignment="1" applyProtection="1"/>
    <xf numFmtId="2" fontId="3" fillId="0" borderId="72" xfId="64" applyNumberFormat="1" applyFont="1" applyFill="1" applyBorder="1"/>
    <xf numFmtId="170" fontId="3" fillId="0" borderId="73" xfId="57" applyFont="1" applyFill="1" applyBorder="1" applyAlignment="1" applyProtection="1"/>
    <xf numFmtId="37" fontId="3" fillId="0" borderId="73" xfId="57" applyNumberFormat="1" applyFont="1" applyFill="1" applyBorder="1" applyAlignment="1" applyProtection="1"/>
    <xf numFmtId="0" fontId="5" fillId="0" borderId="72" xfId="64" applyFont="1" applyFill="1" applyBorder="1"/>
    <xf numFmtId="4" fontId="3" fillId="0" borderId="72" xfId="64" applyNumberFormat="1" applyFont="1" applyFill="1" applyBorder="1"/>
    <xf numFmtId="0" fontId="6" fillId="12" borderId="6" xfId="63" applyFont="1" applyFill="1" applyBorder="1"/>
    <xf numFmtId="0" fontId="9" fillId="0" borderId="0" xfId="63" applyAlignment="1">
      <alignment wrapText="1"/>
    </xf>
    <xf numFmtId="0" fontId="9" fillId="0" borderId="23" xfId="63" applyBorder="1" applyAlignment="1">
      <alignment wrapText="1"/>
    </xf>
    <xf numFmtId="0" fontId="9" fillId="0" borderId="6" xfId="63" applyBorder="1" applyAlignment="1"/>
    <xf numFmtId="0" fontId="22" fillId="0" borderId="6" xfId="63" applyFont="1" applyBorder="1"/>
    <xf numFmtId="0" fontId="3" fillId="0" borderId="72" xfId="64" applyFont="1" applyFill="1" applyBorder="1" applyAlignment="1">
      <alignment wrapText="1"/>
    </xf>
    <xf numFmtId="0" fontId="9" fillId="0" borderId="0" xfId="63" applyAlignment="1"/>
    <xf numFmtId="0" fontId="9" fillId="0" borderId="23" xfId="63" applyBorder="1" applyAlignment="1"/>
    <xf numFmtId="11" fontId="22" fillId="0" borderId="6" xfId="63" applyNumberFormat="1" applyFont="1" applyBorder="1" applyAlignment="1"/>
    <xf numFmtId="0" fontId="22" fillId="0" borderId="6" xfId="63" applyFont="1" applyBorder="1" applyAlignment="1"/>
    <xf numFmtId="11" fontId="22" fillId="0" borderId="6" xfId="63" applyNumberFormat="1" applyFont="1" applyBorder="1"/>
    <xf numFmtId="0" fontId="9" fillId="0" borderId="0" xfId="63" applyFont="1" applyBorder="1"/>
    <xf numFmtId="0" fontId="9" fillId="0" borderId="0" xfId="63" applyFont="1"/>
    <xf numFmtId="0" fontId="9" fillId="0" borderId="23" xfId="63" applyFont="1" applyBorder="1"/>
    <xf numFmtId="0" fontId="22" fillId="0" borderId="6" xfId="63" applyNumberFormat="1" applyFont="1" applyBorder="1"/>
    <xf numFmtId="0" fontId="22" fillId="0" borderId="0" xfId="63" applyFont="1" applyBorder="1"/>
    <xf numFmtId="0" fontId="6" fillId="12" borderId="0" xfId="63" applyFont="1" applyFill="1" applyBorder="1"/>
    <xf numFmtId="0" fontId="22" fillId="0" borderId="0" xfId="63" applyFont="1" applyBorder="1" applyAlignment="1">
      <alignment horizontal="left"/>
    </xf>
    <xf numFmtId="0" fontId="22" fillId="0" borderId="6" xfId="63" applyFont="1" applyBorder="1" applyAlignment="1">
      <alignment horizontal="right"/>
    </xf>
    <xf numFmtId="0" fontId="9" fillId="0" borderId="29" xfId="63" applyBorder="1"/>
    <xf numFmtId="0" fontId="9" fillId="0" borderId="30" xfId="63" applyBorder="1"/>
    <xf numFmtId="0" fontId="9" fillId="0" borderId="31" xfId="63" applyBorder="1"/>
    <xf numFmtId="170" fontId="6" fillId="13" borderId="32" xfId="63" applyNumberFormat="1" applyFont="1" applyFill="1" applyBorder="1"/>
    <xf numFmtId="0" fontId="6" fillId="13" borderId="32" xfId="63" applyFont="1" applyFill="1" applyBorder="1" applyAlignment="1">
      <alignment horizontal="right"/>
    </xf>
    <xf numFmtId="170" fontId="22" fillId="0" borderId="67" xfId="6" applyNumberFormat="1" applyFont="1" applyBorder="1" applyAlignment="1" applyProtection="1">
      <alignment wrapText="1"/>
    </xf>
    <xf numFmtId="1" fontId="22" fillId="0" borderId="67" xfId="56" applyNumberFormat="1" applyFont="1" applyFill="1" applyBorder="1"/>
    <xf numFmtId="0" fontId="22" fillId="0" borderId="67" xfId="56" applyFont="1" applyFill="1" applyBorder="1"/>
    <xf numFmtId="166" fontId="22" fillId="0" borderId="67" xfId="7" applyFont="1" applyFill="1" applyBorder="1"/>
    <xf numFmtId="0" fontId="22" fillId="0" borderId="67" xfId="56" applyFont="1" applyFill="1" applyBorder="1" applyAlignment="1">
      <alignment wrapText="1"/>
    </xf>
    <xf numFmtId="0" fontId="22" fillId="0" borderId="67" xfId="4" applyFont="1" applyFill="1" applyBorder="1" applyAlignment="1">
      <alignment wrapText="1"/>
    </xf>
    <xf numFmtId="0" fontId="22" fillId="0" borderId="67" xfId="56" applyFont="1" applyBorder="1" applyAlignment="1">
      <alignment wrapText="1"/>
    </xf>
    <xf numFmtId="1" fontId="22" fillId="0" borderId="67" xfId="56" applyNumberFormat="1" applyFont="1" applyBorder="1" applyAlignment="1">
      <alignment wrapText="1"/>
    </xf>
    <xf numFmtId="166" fontId="22" fillId="0" borderId="67" xfId="7" applyFont="1" applyFill="1" applyBorder="1" applyAlignment="1">
      <alignment wrapText="1"/>
    </xf>
    <xf numFmtId="0" fontId="0" fillId="0" borderId="67" xfId="6" applyNumberFormat="1" applyFont="1" applyBorder="1" applyAlignment="1">
      <alignment wrapText="1"/>
    </xf>
    <xf numFmtId="0" fontId="9" fillId="0" borderId="67" xfId="20" applyBorder="1" applyAlignment="1">
      <alignment wrapText="1"/>
    </xf>
    <xf numFmtId="189" fontId="9" fillId="0" borderId="0" xfId="63" applyNumberFormat="1"/>
    <xf numFmtId="0" fontId="6" fillId="13" borderId="67" xfId="63" applyFont="1" applyFill="1" applyBorder="1"/>
    <xf numFmtId="0" fontId="6" fillId="13" borderId="70" xfId="63" applyFont="1" applyFill="1" applyBorder="1"/>
    <xf numFmtId="0" fontId="6" fillId="13" borderId="67" xfId="63" applyFont="1" applyFill="1" applyBorder="1" applyAlignment="1">
      <alignment horizontal="right"/>
    </xf>
    <xf numFmtId="170" fontId="22" fillId="0" borderId="67" xfId="6" applyNumberFormat="1" applyFont="1" applyBorder="1" applyAlignment="1" applyProtection="1"/>
    <xf numFmtId="2" fontId="22" fillId="0" borderId="67" xfId="6" applyNumberFormat="1" applyFont="1" applyBorder="1" applyAlignment="1" applyProtection="1"/>
    <xf numFmtId="192" fontId="22" fillId="0" borderId="6" xfId="6" applyNumberFormat="1" applyFont="1" applyBorder="1" applyAlignment="1" applyProtection="1"/>
    <xf numFmtId="11" fontId="22" fillId="0" borderId="67" xfId="63" applyNumberFormat="1" applyFont="1" applyBorder="1" applyAlignment="1"/>
    <xf numFmtId="175" fontId="22" fillId="0" borderId="67" xfId="6" applyNumberFormat="1" applyFont="1" applyBorder="1" applyAlignment="1" applyProtection="1"/>
    <xf numFmtId="0" fontId="22" fillId="0" borderId="67" xfId="63" applyFont="1" applyBorder="1" applyAlignment="1"/>
    <xf numFmtId="0" fontId="22" fillId="0" borderId="67" xfId="20" applyFont="1" applyBorder="1" applyAlignment="1"/>
    <xf numFmtId="0" fontId="6" fillId="13" borderId="32" xfId="63" applyFont="1" applyFill="1" applyBorder="1"/>
    <xf numFmtId="0" fontId="6" fillId="13" borderId="33" xfId="63" applyFont="1" applyFill="1" applyBorder="1"/>
    <xf numFmtId="0" fontId="6" fillId="0" borderId="34" xfId="63" applyFont="1" applyBorder="1"/>
    <xf numFmtId="0" fontId="6" fillId="0" borderId="35" xfId="63" applyFont="1" applyBorder="1"/>
    <xf numFmtId="0" fontId="6" fillId="13" borderId="6" xfId="63" applyFont="1" applyFill="1" applyBorder="1"/>
    <xf numFmtId="0" fontId="6" fillId="13" borderId="36" xfId="63" applyFont="1" applyFill="1" applyBorder="1"/>
    <xf numFmtId="49" fontId="22" fillId="0" borderId="0" xfId="63" applyNumberFormat="1" applyFont="1" applyBorder="1" applyAlignment="1">
      <alignment horizontal="left"/>
    </xf>
    <xf numFmtId="0" fontId="6" fillId="13" borderId="6" xfId="63" applyFont="1" applyFill="1" applyBorder="1" applyAlignment="1">
      <alignment horizontal="left"/>
    </xf>
    <xf numFmtId="166" fontId="8" fillId="0" borderId="67" xfId="7" applyNumberFormat="1" applyFont="1" applyFill="1" applyBorder="1" applyAlignment="1"/>
    <xf numFmtId="0" fontId="8" fillId="0" borderId="67" xfId="4" applyFont="1" applyFill="1" applyBorder="1" applyAlignment="1">
      <alignment wrapText="1"/>
    </xf>
    <xf numFmtId="1" fontId="8" fillId="0" borderId="67" xfId="56" applyNumberFormat="1" applyFont="1" applyFill="1" applyBorder="1"/>
    <xf numFmtId="0" fontId="8" fillId="0" borderId="67" xfId="56" applyFont="1" applyFill="1" applyBorder="1"/>
    <xf numFmtId="166" fontId="8" fillId="0" borderId="67" xfId="7" applyFont="1" applyFill="1" applyBorder="1"/>
    <xf numFmtId="0" fontId="8" fillId="0" borderId="67" xfId="56" applyFont="1" applyFill="1" applyBorder="1" applyAlignment="1">
      <alignment wrapText="1"/>
    </xf>
    <xf numFmtId="166" fontId="8" fillId="0" borderId="67" xfId="7" applyNumberFormat="1" applyFont="1" applyFill="1" applyBorder="1" applyAlignment="1">
      <alignment wrapText="1"/>
    </xf>
    <xf numFmtId="0" fontId="8" fillId="0" borderId="67" xfId="56" applyFont="1" applyBorder="1" applyAlignment="1">
      <alignment wrapText="1"/>
    </xf>
    <xf numFmtId="166" fontId="8" fillId="0" borderId="67" xfId="7" applyFont="1" applyFill="1" applyBorder="1" applyAlignment="1">
      <alignment wrapText="1"/>
    </xf>
    <xf numFmtId="189" fontId="9" fillId="0" borderId="0" xfId="20" applyNumberFormat="1" applyAlignment="1">
      <alignment wrapText="1"/>
    </xf>
    <xf numFmtId="0" fontId="6" fillId="13" borderId="67" xfId="20" applyFont="1" applyFill="1" applyBorder="1"/>
    <xf numFmtId="11" fontId="22" fillId="0" borderId="67" xfId="20" applyNumberFormat="1" applyFont="1" applyBorder="1" applyAlignment="1"/>
    <xf numFmtId="190" fontId="22" fillId="0" borderId="67" xfId="20" applyNumberFormat="1" applyFont="1" applyBorder="1" applyAlignment="1"/>
    <xf numFmtId="0" fontId="6" fillId="13" borderId="28" xfId="63" applyFont="1" applyFill="1" applyBorder="1"/>
    <xf numFmtId="0" fontId="9" fillId="11" borderId="0" xfId="63" applyFill="1"/>
    <xf numFmtId="173" fontId="3" fillId="0" borderId="67" xfId="56" applyNumberFormat="1" applyFont="1" applyFill="1" applyBorder="1" applyAlignment="1">
      <alignment horizontal="right" wrapText="1"/>
    </xf>
    <xf numFmtId="0" fontId="3" fillId="0" borderId="67" xfId="56" applyFont="1" applyFill="1" applyBorder="1" applyAlignment="1" applyProtection="1">
      <alignment wrapText="1"/>
    </xf>
    <xf numFmtId="1" fontId="22" fillId="0" borderId="67" xfId="6" applyNumberFormat="1" applyFont="1" applyBorder="1" applyAlignment="1" applyProtection="1"/>
    <xf numFmtId="166" fontId="8" fillId="0" borderId="49" xfId="59" applyNumberFormat="1" applyFont="1" applyFill="1" applyBorder="1">
      <alignment vertical="center" wrapText="1"/>
    </xf>
    <xf numFmtId="0" fontId="6" fillId="13" borderId="49" xfId="63" applyFont="1" applyFill="1" applyBorder="1"/>
    <xf numFmtId="0" fontId="6" fillId="13" borderId="49" xfId="63" applyFont="1" applyFill="1" applyBorder="1" applyAlignment="1">
      <alignment horizontal="right"/>
    </xf>
    <xf numFmtId="0" fontId="38" fillId="0" borderId="20" xfId="63" applyFont="1" applyBorder="1"/>
    <xf numFmtId="0" fontId="38" fillId="0" borderId="21" xfId="63" applyFont="1" applyBorder="1"/>
    <xf numFmtId="0" fontId="38" fillId="0" borderId="22" xfId="63" applyFont="1" applyBorder="1"/>
    <xf numFmtId="0" fontId="38" fillId="0" borderId="23" xfId="63" applyFont="1" applyBorder="1"/>
    <xf numFmtId="0" fontId="39" fillId="0" borderId="0" xfId="63" applyFont="1" applyBorder="1"/>
    <xf numFmtId="170" fontId="39" fillId="13" borderId="32" xfId="63" applyNumberFormat="1" applyFont="1" applyFill="1" applyBorder="1"/>
    <xf numFmtId="0" fontId="39" fillId="13" borderId="32" xfId="63" applyFont="1" applyFill="1" applyBorder="1" applyAlignment="1">
      <alignment horizontal="right"/>
    </xf>
    <xf numFmtId="0" fontId="39" fillId="0" borderId="25" xfId="63" applyFont="1" applyBorder="1"/>
    <xf numFmtId="0" fontId="38" fillId="0" borderId="0" xfId="63" applyFont="1" applyBorder="1"/>
    <xf numFmtId="170" fontId="38" fillId="0" borderId="49" xfId="6" applyNumberFormat="1" applyFont="1" applyBorder="1" applyAlignment="1" applyProtection="1"/>
    <xf numFmtId="0" fontId="38" fillId="0" borderId="49" xfId="63" applyFont="1" applyBorder="1"/>
    <xf numFmtId="0" fontId="38" fillId="0" borderId="49" xfId="6" applyNumberFormat="1" applyFont="1" applyBorder="1" applyAlignment="1">
      <alignment wrapText="1"/>
    </xf>
    <xf numFmtId="0" fontId="38" fillId="0" borderId="71" xfId="4" applyFont="1" applyFill="1" applyBorder="1" applyAlignment="1">
      <alignment wrapText="1"/>
    </xf>
    <xf numFmtId="0" fontId="38" fillId="0" borderId="70" xfId="63" applyFont="1" applyBorder="1"/>
    <xf numFmtId="0" fontId="38" fillId="0" borderId="23" xfId="63" applyFont="1" applyBorder="1" applyAlignment="1">
      <alignment wrapText="1"/>
    </xf>
    <xf numFmtId="0" fontId="38" fillId="0" borderId="0" xfId="63" applyFont="1" applyBorder="1" applyAlignment="1">
      <alignment wrapText="1"/>
    </xf>
    <xf numFmtId="170" fontId="38" fillId="0" borderId="49" xfId="6" applyNumberFormat="1" applyFont="1" applyBorder="1" applyAlignment="1" applyProtection="1">
      <alignment wrapText="1"/>
    </xf>
    <xf numFmtId="0" fontId="38" fillId="0" borderId="49" xfId="63" applyFont="1" applyBorder="1" applyAlignment="1">
      <alignment wrapText="1"/>
    </xf>
    <xf numFmtId="0" fontId="38" fillId="0" borderId="70" xfId="63" applyFont="1" applyBorder="1" applyAlignment="1">
      <alignment wrapText="1"/>
    </xf>
    <xf numFmtId="0" fontId="39" fillId="13" borderId="49" xfId="63" applyFont="1" applyFill="1" applyBorder="1"/>
    <xf numFmtId="0" fontId="39" fillId="13" borderId="70" xfId="63" applyFont="1" applyFill="1" applyBorder="1"/>
    <xf numFmtId="0" fontId="38" fillId="0" borderId="25" xfId="63" applyFont="1" applyBorder="1"/>
    <xf numFmtId="0" fontId="39" fillId="13" borderId="49" xfId="63" applyFont="1" applyFill="1" applyBorder="1" applyAlignment="1">
      <alignment horizontal="right"/>
    </xf>
    <xf numFmtId="0" fontId="38" fillId="0" borderId="23" xfId="63" applyFont="1" applyBorder="1" applyAlignment="1"/>
    <xf numFmtId="1" fontId="38" fillId="0" borderId="49" xfId="6" applyNumberFormat="1" applyFont="1" applyBorder="1" applyAlignment="1" applyProtection="1"/>
    <xf numFmtId="0" fontId="38" fillId="0" borderId="6" xfId="20" applyFont="1" applyBorder="1" applyAlignment="1"/>
    <xf numFmtId="193" fontId="38" fillId="0" borderId="6" xfId="6" applyNumberFormat="1" applyFont="1" applyBorder="1" applyAlignment="1" applyProtection="1"/>
    <xf numFmtId="2" fontId="38" fillId="0" borderId="6" xfId="6" applyNumberFormat="1" applyFont="1" applyBorder="1" applyAlignment="1" applyProtection="1"/>
    <xf numFmtId="11" fontId="38" fillId="0" borderId="49" xfId="20" applyNumberFormat="1" applyFont="1" applyBorder="1" applyAlignment="1"/>
    <xf numFmtId="175" fontId="38" fillId="0" borderId="49" xfId="6" applyNumberFormat="1" applyFont="1" applyBorder="1" applyAlignment="1" applyProtection="1"/>
    <xf numFmtId="0" fontId="38" fillId="0" borderId="49" xfId="20" applyFont="1" applyBorder="1" applyAlignment="1"/>
    <xf numFmtId="189" fontId="38" fillId="0" borderId="49" xfId="20" applyNumberFormat="1" applyFont="1" applyBorder="1" applyAlignment="1"/>
    <xf numFmtId="0" fontId="38" fillId="0" borderId="49" xfId="20" applyFont="1" applyBorder="1"/>
    <xf numFmtId="0" fontId="38" fillId="0" borderId="70" xfId="20" applyFont="1" applyBorder="1" applyAlignment="1"/>
    <xf numFmtId="0" fontId="39" fillId="13" borderId="32" xfId="63" applyFont="1" applyFill="1" applyBorder="1"/>
    <xf numFmtId="0" fontId="39" fillId="13" borderId="33" xfId="63" applyFont="1" applyFill="1" applyBorder="1"/>
    <xf numFmtId="0" fontId="39" fillId="0" borderId="34" xfId="63" applyFont="1" applyBorder="1"/>
    <xf numFmtId="0" fontId="39" fillId="0" borderId="35" xfId="63" applyFont="1" applyBorder="1"/>
    <xf numFmtId="0" fontId="39" fillId="13" borderId="6" xfId="63" applyFont="1" applyFill="1" applyBorder="1"/>
    <xf numFmtId="0" fontId="39" fillId="13" borderId="36" xfId="63" applyFont="1" applyFill="1" applyBorder="1"/>
    <xf numFmtId="49" fontId="38" fillId="0" borderId="0" xfId="63" applyNumberFormat="1" applyFont="1" applyBorder="1" applyAlignment="1">
      <alignment horizontal="left"/>
    </xf>
    <xf numFmtId="170" fontId="38" fillId="0" borderId="6" xfId="6" applyNumberFormat="1" applyFont="1" applyBorder="1" applyAlignment="1" applyProtection="1"/>
    <xf numFmtId="0" fontId="38" fillId="0" borderId="0" xfId="63" applyFont="1" applyBorder="1" applyAlignment="1">
      <alignment horizontal="left"/>
    </xf>
    <xf numFmtId="0" fontId="42" fillId="0" borderId="0" xfId="14" applyFont="1" applyBorder="1"/>
    <xf numFmtId="37" fontId="38" fillId="0" borderId="6" xfId="6" applyNumberFormat="1" applyFont="1" applyBorder="1" applyAlignment="1" applyProtection="1"/>
    <xf numFmtId="0" fontId="42" fillId="0" borderId="0" xfId="14" applyFont="1"/>
    <xf numFmtId="0" fontId="38" fillId="0" borderId="6" xfId="63" applyFont="1" applyBorder="1" applyAlignment="1">
      <alignment horizontal="right"/>
    </xf>
    <xf numFmtId="0" fontId="39" fillId="13" borderId="6" xfId="63" applyFont="1" applyFill="1" applyBorder="1" applyAlignment="1">
      <alignment horizontal="left"/>
    </xf>
    <xf numFmtId="0" fontId="38" fillId="0" borderId="29" xfId="63" applyFont="1" applyBorder="1"/>
    <xf numFmtId="0" fontId="38" fillId="0" borderId="30" xfId="63" applyFont="1" applyBorder="1"/>
    <xf numFmtId="0" fontId="38" fillId="0" borderId="31" xfId="63" applyFont="1" applyBorder="1"/>
    <xf numFmtId="49" fontId="20" fillId="0" borderId="0" xfId="14" applyNumberFormat="1"/>
    <xf numFmtId="0" fontId="40" fillId="0" borderId="67" xfId="30" applyFont="1" applyFill="1" applyBorder="1" applyAlignment="1">
      <alignment horizontal="left" wrapText="1"/>
    </xf>
    <xf numFmtId="0" fontId="6" fillId="15" borderId="6" xfId="56" applyFont="1" applyFill="1" applyBorder="1"/>
    <xf numFmtId="0" fontId="3" fillId="0" borderId="67" xfId="30" applyFont="1" applyBorder="1"/>
    <xf numFmtId="1" fontId="3" fillId="0" borderId="67" xfId="30" applyNumberFormat="1" applyFont="1" applyFill="1" applyBorder="1"/>
    <xf numFmtId="0" fontId="3" fillId="0" borderId="67" xfId="30" applyFont="1" applyFill="1" applyBorder="1" applyAlignment="1">
      <alignment wrapText="1"/>
    </xf>
    <xf numFmtId="166" fontId="3" fillId="0" borderId="67" xfId="7" applyNumberFormat="1" applyFont="1" applyFill="1" applyBorder="1" applyAlignment="1">
      <alignment wrapText="1"/>
    </xf>
    <xf numFmtId="0" fontId="3" fillId="0" borderId="67" xfId="30" applyFont="1" applyBorder="1" applyAlignment="1">
      <alignment wrapText="1"/>
    </xf>
    <xf numFmtId="166" fontId="3" fillId="0" borderId="67" xfId="7" applyFont="1" applyFill="1" applyBorder="1" applyAlignment="1">
      <alignment wrapText="1"/>
    </xf>
    <xf numFmtId="0" fontId="9" fillId="0" borderId="67" xfId="30" applyBorder="1" applyAlignment="1">
      <alignment wrapText="1"/>
    </xf>
    <xf numFmtId="167" fontId="3" fillId="0" borderId="67" xfId="2" applyFont="1" applyFill="1" applyBorder="1" applyAlignment="1"/>
    <xf numFmtId="0" fontId="3" fillId="0" borderId="67" xfId="30" applyFont="1" applyFill="1" applyBorder="1" applyAlignment="1"/>
    <xf numFmtId="0" fontId="3" fillId="0" borderId="67" xfId="30" applyNumberFormat="1" applyFont="1" applyFill="1" applyBorder="1" applyAlignment="1"/>
    <xf numFmtId="166" fontId="3" fillId="0" borderId="67" xfId="7" applyFont="1" applyFill="1" applyBorder="1" applyAlignment="1"/>
    <xf numFmtId="0" fontId="3" fillId="0" borderId="67" xfId="30" applyFont="1" applyFill="1" applyBorder="1" applyAlignment="1" applyProtection="1"/>
    <xf numFmtId="0" fontId="6" fillId="13" borderId="62" xfId="63" applyFont="1" applyFill="1" applyBorder="1"/>
    <xf numFmtId="0" fontId="9" fillId="0" borderId="49" xfId="63" applyBorder="1"/>
    <xf numFmtId="0" fontId="22" fillId="0" borderId="49" xfId="63" applyNumberFormat="1" applyFont="1" applyBorder="1"/>
    <xf numFmtId="0" fontId="30" fillId="0" borderId="64" xfId="4" applyFont="1" applyFill="1" applyBorder="1" applyAlignment="1">
      <alignment wrapText="1"/>
    </xf>
    <xf numFmtId="0" fontId="22" fillId="0" borderId="62" xfId="63" applyFont="1" applyBorder="1"/>
    <xf numFmtId="0" fontId="9" fillId="0" borderId="49" xfId="63" applyBorder="1" applyAlignment="1">
      <alignment wrapText="1"/>
    </xf>
    <xf numFmtId="0" fontId="9" fillId="0" borderId="62" xfId="63" applyBorder="1" applyAlignment="1">
      <alignment wrapText="1"/>
    </xf>
    <xf numFmtId="11" fontId="22" fillId="0" borderId="49" xfId="63" applyNumberFormat="1" applyFont="1" applyBorder="1" applyAlignment="1"/>
    <xf numFmtId="0" fontId="22" fillId="0" borderId="49" xfId="63" applyFont="1" applyBorder="1" applyAlignment="1"/>
    <xf numFmtId="189" fontId="22" fillId="0" borderId="49" xfId="63" applyNumberFormat="1" applyFont="1" applyBorder="1" applyAlignment="1"/>
    <xf numFmtId="0" fontId="22" fillId="0" borderId="62" xfId="63" applyFont="1" applyBorder="1" applyAlignment="1"/>
    <xf numFmtId="0" fontId="6" fillId="13" borderId="62" xfId="20" applyFont="1" applyFill="1" applyBorder="1"/>
    <xf numFmtId="0" fontId="38" fillId="0" borderId="63" xfId="30" applyFont="1" applyBorder="1"/>
    <xf numFmtId="0" fontId="38" fillId="0" borderId="63" xfId="30" applyFont="1" applyFill="1" applyBorder="1"/>
    <xf numFmtId="0" fontId="40" fillId="0" borderId="65" xfId="30" applyFont="1" applyFill="1" applyBorder="1" applyAlignment="1">
      <alignment wrapText="1"/>
    </xf>
    <xf numFmtId="0" fontId="38" fillId="6" borderId="67" xfId="30" applyFont="1" applyFill="1" applyBorder="1" applyAlignment="1">
      <alignment wrapText="1"/>
    </xf>
    <xf numFmtId="0" fontId="38" fillId="0" borderId="67" xfId="4" applyFont="1" applyFill="1" applyBorder="1" applyAlignment="1"/>
    <xf numFmtId="0" fontId="40" fillId="0" borderId="67" xfId="30" applyFont="1" applyFill="1" applyBorder="1" applyAlignment="1" applyProtection="1"/>
    <xf numFmtId="0" fontId="3" fillId="0" borderId="0" xfId="20" applyNumberFormat="1" applyFont="1" applyFill="1" applyBorder="1"/>
    <xf numFmtId="0" fontId="3" fillId="0" borderId="67" xfId="46" applyFont="1" applyFill="1" applyBorder="1"/>
    <xf numFmtId="170" fontId="3" fillId="0" borderId="67" xfId="6" applyNumberFormat="1" applyFont="1" applyBorder="1" applyAlignment="1" applyProtection="1"/>
    <xf numFmtId="0" fontId="3" fillId="0" borderId="67" xfId="20" applyFont="1" applyBorder="1"/>
    <xf numFmtId="0" fontId="3" fillId="0" borderId="67" xfId="6" applyNumberFormat="1" applyFont="1" applyBorder="1" applyAlignment="1">
      <alignment wrapText="1"/>
    </xf>
    <xf numFmtId="0" fontId="3" fillId="0" borderId="67" xfId="20" applyNumberFormat="1" applyFont="1" applyFill="1" applyBorder="1"/>
    <xf numFmtId="0" fontId="3" fillId="0" borderId="26" xfId="20" applyFont="1" applyBorder="1"/>
    <xf numFmtId="0" fontId="3" fillId="0" borderId="6" xfId="20" applyFont="1" applyFill="1" applyBorder="1"/>
    <xf numFmtId="0" fontId="3" fillId="0" borderId="49" xfId="65" applyNumberFormat="1" applyFont="1" applyFill="1" applyBorder="1"/>
    <xf numFmtId="0" fontId="6" fillId="12" borderId="24" xfId="20" applyFont="1" applyFill="1" applyBorder="1"/>
    <xf numFmtId="180" fontId="22" fillId="0" borderId="49" xfId="6" applyNumberFormat="1" applyFont="1" applyBorder="1" applyAlignment="1" applyProtection="1"/>
    <xf numFmtId="0" fontId="22" fillId="0" borderId="49" xfId="20" applyFont="1" applyBorder="1" applyAlignment="1">
      <alignment wrapText="1"/>
    </xf>
    <xf numFmtId="37" fontId="22" fillId="0" borderId="49" xfId="20" applyNumberFormat="1" applyFont="1" applyBorder="1"/>
    <xf numFmtId="0" fontId="9" fillId="0" borderId="32" xfId="20" applyBorder="1"/>
    <xf numFmtId="0" fontId="35" fillId="0" borderId="49" xfId="6" applyNumberFormat="1" applyFont="1" applyBorder="1" applyAlignment="1">
      <alignment wrapText="1"/>
    </xf>
    <xf numFmtId="178" fontId="35" fillId="0" borderId="49" xfId="20" applyNumberFormat="1" applyFont="1" applyBorder="1"/>
    <xf numFmtId="0" fontId="35" fillId="0" borderId="49" xfId="20" applyFont="1" applyBorder="1"/>
    <xf numFmtId="170" fontId="35" fillId="0" borderId="49" xfId="6" applyNumberFormat="1" applyFont="1" applyBorder="1" applyAlignment="1" applyProtection="1"/>
    <xf numFmtId="0" fontId="35" fillId="0" borderId="62" xfId="20" applyFont="1" applyBorder="1" applyAlignment="1">
      <alignment wrapText="1"/>
    </xf>
    <xf numFmtId="0" fontId="35" fillId="0" borderId="62" xfId="20" applyFont="1" applyBorder="1"/>
    <xf numFmtId="0" fontId="35" fillId="0" borderId="49" xfId="20" applyFont="1" applyBorder="1" applyAlignment="1">
      <alignment wrapText="1"/>
    </xf>
    <xf numFmtId="170" fontId="35" fillId="0" borderId="49" xfId="6" applyNumberFormat="1" applyFont="1" applyBorder="1" applyAlignment="1" applyProtection="1">
      <alignment wrapText="1"/>
    </xf>
    <xf numFmtId="0" fontId="35" fillId="0" borderId="49" xfId="20" applyFont="1" applyBorder="1" applyAlignment="1"/>
    <xf numFmtId="194" fontId="6" fillId="0" borderId="0" xfId="20" applyNumberFormat="1" applyFont="1" applyBorder="1"/>
    <xf numFmtId="3" fontId="9" fillId="0" borderId="49" xfId="20" applyNumberFormat="1" applyBorder="1" applyAlignment="1"/>
    <xf numFmtId="195" fontId="22" fillId="0" borderId="49" xfId="6" applyNumberFormat="1" applyFont="1" applyBorder="1" applyAlignment="1" applyProtection="1"/>
    <xf numFmtId="183" fontId="22" fillId="0" borderId="49" xfId="20" applyNumberFormat="1" applyFont="1" applyBorder="1" applyAlignment="1"/>
    <xf numFmtId="0" fontId="22" fillId="0" borderId="49" xfId="20" applyFont="1" applyBorder="1" applyAlignment="1" applyProtection="1"/>
    <xf numFmtId="0" fontId="6" fillId="12" borderId="41" xfId="20" applyFont="1" applyFill="1" applyBorder="1"/>
    <xf numFmtId="0" fontId="3" fillId="0" borderId="49" xfId="32" applyNumberFormat="1" applyFont="1" applyFill="1" applyBorder="1"/>
    <xf numFmtId="0" fontId="22" fillId="0" borderId="63" xfId="20" applyFont="1" applyBorder="1"/>
    <xf numFmtId="0" fontId="9" fillId="0" borderId="26" xfId="20" applyBorder="1"/>
    <xf numFmtId="0" fontId="22" fillId="0" borderId="47" xfId="20" applyFont="1" applyBorder="1"/>
    <xf numFmtId="0" fontId="22" fillId="0" borderId="63" xfId="20" applyFont="1" applyFill="1" applyBorder="1"/>
    <xf numFmtId="0" fontId="20" fillId="0" borderId="49" xfId="14" applyNumberFormat="1" applyFill="1" applyBorder="1" applyAlignment="1" applyProtection="1"/>
    <xf numFmtId="0" fontId="6" fillId="12" borderId="47" xfId="20" applyFont="1" applyFill="1" applyBorder="1"/>
    <xf numFmtId="0" fontId="20" fillId="0" borderId="0" xfId="14" applyNumberFormat="1" applyBorder="1" applyAlignment="1" applyProtection="1"/>
    <xf numFmtId="0" fontId="8" fillId="0" borderId="0" xfId="32" applyFont="1"/>
    <xf numFmtId="0" fontId="1" fillId="0" borderId="0" xfId="32"/>
    <xf numFmtId="0" fontId="8" fillId="0" borderId="9" xfId="32" applyFont="1" applyBorder="1"/>
    <xf numFmtId="0" fontId="8" fillId="0" borderId="8" xfId="32" applyFont="1" applyBorder="1"/>
    <xf numFmtId="0" fontId="8" fillId="0" borderId="0" xfId="32" applyFont="1" applyBorder="1"/>
    <xf numFmtId="0" fontId="8" fillId="0" borderId="5" xfId="32" applyFont="1" applyBorder="1"/>
    <xf numFmtId="170" fontId="8" fillId="0" borderId="0" xfId="32" applyNumberFormat="1" applyFont="1" applyBorder="1"/>
    <xf numFmtId="0" fontId="8" fillId="0" borderId="0" xfId="32" applyFont="1" applyBorder="1" applyAlignment="1">
      <alignment horizontal="right"/>
    </xf>
    <xf numFmtId="0" fontId="26" fillId="0" borderId="0" xfId="32" applyFont="1" applyBorder="1"/>
    <xf numFmtId="170" fontId="26" fillId="16" borderId="58" xfId="32" applyNumberFormat="1" applyFont="1" applyFill="1" applyBorder="1"/>
    <xf numFmtId="0" fontId="26" fillId="16" borderId="74" xfId="32" applyFont="1" applyFill="1" applyBorder="1" applyAlignment="1">
      <alignment horizontal="right"/>
    </xf>
    <xf numFmtId="0" fontId="26" fillId="0" borderId="5" xfId="32" applyFont="1" applyBorder="1"/>
    <xf numFmtId="170" fontId="8" fillId="0" borderId="58" xfId="32" applyNumberFormat="1" applyFont="1" applyBorder="1"/>
    <xf numFmtId="0" fontId="8" fillId="0" borderId="58" xfId="32" applyFont="1" applyBorder="1"/>
    <xf numFmtId="0" fontId="8" fillId="0" borderId="59" xfId="32" applyFont="1" applyBorder="1"/>
    <xf numFmtId="0" fontId="26" fillId="16" borderId="75" xfId="32" applyFont="1" applyFill="1" applyBorder="1"/>
    <xf numFmtId="0" fontId="26" fillId="16" borderId="76" xfId="32" applyFont="1" applyFill="1" applyBorder="1"/>
    <xf numFmtId="196" fontId="26" fillId="16" borderId="58" xfId="32" applyNumberFormat="1" applyFont="1" applyFill="1" applyBorder="1"/>
    <xf numFmtId="0" fontId="8" fillId="0" borderId="58" xfId="32" applyNumberFormat="1" applyFont="1" applyBorder="1"/>
    <xf numFmtId="185" fontId="8" fillId="0" borderId="58" xfId="32" applyNumberFormat="1" applyFont="1" applyBorder="1"/>
    <xf numFmtId="11" fontId="8" fillId="0" borderId="58" xfId="32" applyNumberFormat="1" applyFont="1" applyBorder="1"/>
    <xf numFmtId="175" fontId="8" fillId="0" borderId="58" xfId="32" applyNumberFormat="1" applyFont="1" applyBorder="1"/>
    <xf numFmtId="186" fontId="8" fillId="0" borderId="58" xfId="32" applyNumberFormat="1" applyFont="1" applyBorder="1"/>
    <xf numFmtId="0" fontId="26" fillId="16" borderId="49" xfId="32" applyFont="1" applyFill="1" applyBorder="1"/>
    <xf numFmtId="0" fontId="22" fillId="0" borderId="0" xfId="6" applyNumberFormat="1" applyFont="1" applyBorder="1" applyAlignment="1" applyProtection="1"/>
    <xf numFmtId="37" fontId="8" fillId="0" borderId="0" xfId="32" applyNumberFormat="1" applyFont="1" applyBorder="1"/>
    <xf numFmtId="0" fontId="26" fillId="16" borderId="49" xfId="32" applyFont="1" applyFill="1" applyBorder="1" applyAlignment="1">
      <alignment horizontal="left"/>
    </xf>
    <xf numFmtId="0" fontId="8" fillId="0" borderId="63" xfId="32" applyFont="1" applyBorder="1"/>
    <xf numFmtId="0" fontId="26" fillId="16" borderId="77" xfId="32" applyFont="1" applyFill="1" applyBorder="1"/>
    <xf numFmtId="0" fontId="26" fillId="16" borderId="78" xfId="32" applyFont="1" applyFill="1" applyBorder="1"/>
    <xf numFmtId="0" fontId="26" fillId="16" borderId="52" xfId="32" applyFont="1" applyFill="1" applyBorder="1"/>
    <xf numFmtId="0" fontId="26" fillId="16" borderId="53" xfId="32" applyFont="1" applyFill="1" applyBorder="1"/>
    <xf numFmtId="0" fontId="26" fillId="16" borderId="36" xfId="32" applyFont="1" applyFill="1" applyBorder="1"/>
    <xf numFmtId="0" fontId="26" fillId="16" borderId="36" xfId="32" applyFont="1" applyFill="1" applyBorder="1" applyAlignment="1">
      <alignment horizontal="left"/>
    </xf>
    <xf numFmtId="0" fontId="26" fillId="16" borderId="51" xfId="32" applyFont="1" applyFill="1" applyBorder="1"/>
    <xf numFmtId="0" fontId="8" fillId="0" borderId="74" xfId="32" applyFont="1" applyBorder="1"/>
    <xf numFmtId="197" fontId="22" fillId="0" borderId="49" xfId="6" applyNumberFormat="1" applyFont="1" applyBorder="1" applyAlignment="1" applyProtection="1"/>
    <xf numFmtId="198" fontId="22" fillId="0" borderId="49" xfId="20" applyNumberFormat="1" applyFont="1" applyBorder="1" applyAlignment="1"/>
    <xf numFmtId="170" fontId="8" fillId="0" borderId="9" xfId="32" applyNumberFormat="1" applyFont="1" applyBorder="1"/>
    <xf numFmtId="0" fontId="8" fillId="0" borderId="9" xfId="32" applyFont="1" applyBorder="1" applyAlignment="1">
      <alignment horizontal="right"/>
    </xf>
    <xf numFmtId="0" fontId="8" fillId="0" borderId="49" xfId="32" applyFont="1" applyBorder="1"/>
    <xf numFmtId="0" fontId="9" fillId="0" borderId="10" xfId="20" applyFont="1" applyBorder="1"/>
    <xf numFmtId="0" fontId="9" fillId="0" borderId="9" xfId="20" applyFont="1" applyBorder="1"/>
    <xf numFmtId="0" fontId="9" fillId="0" borderId="8" xfId="20" applyFont="1" applyBorder="1"/>
    <xf numFmtId="0" fontId="22" fillId="0" borderId="49" xfId="46" applyFont="1" applyFill="1" applyBorder="1"/>
    <xf numFmtId="0" fontId="9" fillId="0" borderId="5" xfId="20" applyFont="1" applyBorder="1"/>
    <xf numFmtId="0" fontId="22" fillId="0" borderId="49" xfId="6" applyNumberFormat="1" applyFont="1" applyBorder="1" applyAlignment="1">
      <alignment wrapText="1"/>
    </xf>
    <xf numFmtId="0" fontId="22" fillId="0" borderId="49" xfId="20" applyNumberFormat="1" applyFont="1" applyFill="1" applyBorder="1"/>
    <xf numFmtId="0" fontId="9" fillId="0" borderId="4" xfId="20" applyFont="1" applyBorder="1" applyAlignment="1">
      <alignment wrapText="1"/>
    </xf>
    <xf numFmtId="0" fontId="22" fillId="0" borderId="26" xfId="6" applyNumberFormat="1" applyFont="1" applyBorder="1" applyAlignment="1">
      <alignment wrapText="1"/>
    </xf>
    <xf numFmtId="0" fontId="22" fillId="0" borderId="79" xfId="4" applyFont="1" applyFill="1" applyBorder="1" applyAlignment="1">
      <alignment wrapText="1"/>
    </xf>
    <xf numFmtId="0" fontId="22" fillId="0" borderId="71" xfId="4" applyFont="1" applyFill="1" applyBorder="1" applyAlignment="1">
      <alignment wrapText="1"/>
    </xf>
    <xf numFmtId="0" fontId="22" fillId="0" borderId="6" xfId="20" applyFont="1" applyFill="1" applyBorder="1"/>
    <xf numFmtId="0" fontId="22" fillId="0" borderId="49" xfId="65" applyFont="1" applyFill="1" applyBorder="1"/>
    <xf numFmtId="0" fontId="22" fillId="0" borderId="49" xfId="65" applyNumberFormat="1" applyFont="1" applyFill="1" applyBorder="1"/>
    <xf numFmtId="0" fontId="22" fillId="0" borderId="63" xfId="65" applyFont="1" applyFill="1" applyBorder="1"/>
    <xf numFmtId="0" fontId="22" fillId="0" borderId="41" xfId="20" applyFont="1" applyFill="1" applyBorder="1"/>
    <xf numFmtId="0" fontId="9" fillId="0" borderId="49" xfId="20" applyFont="1" applyBorder="1"/>
    <xf numFmtId="0" fontId="22" fillId="0" borderId="49" xfId="20" applyFont="1" applyFill="1" applyBorder="1" applyAlignment="1" applyProtection="1">
      <alignment vertical="center" wrapText="1"/>
    </xf>
    <xf numFmtId="0" fontId="9" fillId="0" borderId="63" xfId="20" applyFont="1" applyBorder="1"/>
    <xf numFmtId="0" fontId="9" fillId="0" borderId="4" xfId="20" applyFont="1" applyBorder="1" applyAlignment="1"/>
    <xf numFmtId="0" fontId="9" fillId="0" borderId="49" xfId="20" applyFont="1" applyBorder="1" applyAlignment="1"/>
    <xf numFmtId="0" fontId="22" fillId="0" borderId="0" xfId="20" applyFont="1" applyFill="1" applyBorder="1"/>
    <xf numFmtId="0" fontId="20" fillId="0" borderId="0" xfId="14" applyFont="1" applyBorder="1"/>
    <xf numFmtId="0" fontId="9" fillId="0" borderId="3" xfId="20" applyFont="1" applyBorder="1"/>
    <xf numFmtId="0" fontId="9" fillId="0" borderId="2" xfId="20" applyFont="1" applyBorder="1"/>
    <xf numFmtId="0" fontId="9" fillId="0" borderId="1" xfId="20" applyFont="1" applyBorder="1"/>
    <xf numFmtId="0" fontId="9" fillId="0" borderId="32" xfId="20" applyBorder="1" applyAlignment="1"/>
    <xf numFmtId="178" fontId="22" fillId="0" borderId="49" xfId="20" applyNumberFormat="1" applyFont="1" applyBorder="1" applyAlignment="1"/>
    <xf numFmtId="0" fontId="5" fillId="0" borderId="71" xfId="4" applyFont="1" applyFill="1" applyBorder="1" applyAlignment="1"/>
    <xf numFmtId="0" fontId="9" fillId="0" borderId="70" xfId="20" applyBorder="1" applyAlignment="1"/>
    <xf numFmtId="0" fontId="3" fillId="0" borderId="49" xfId="3" applyNumberFormat="1" applyFont="1" applyFill="1" applyBorder="1"/>
    <xf numFmtId="0" fontId="3" fillId="0" borderId="49" xfId="66" applyNumberFormat="1" applyFont="1" applyFill="1" applyBorder="1"/>
    <xf numFmtId="179" fontId="22" fillId="0" borderId="6" xfId="6" applyNumberFormat="1" applyFont="1" applyBorder="1" applyAlignment="1" applyProtection="1">
      <alignment horizontal="right"/>
    </xf>
    <xf numFmtId="0" fontId="22" fillId="0" borderId="49" xfId="25" applyNumberFormat="1" applyFont="1" applyBorder="1" applyAlignment="1"/>
    <xf numFmtId="0" fontId="22" fillId="0" borderId="49" xfId="20" applyFont="1" applyFill="1" applyBorder="1"/>
    <xf numFmtId="0" fontId="8" fillId="0" borderId="0" xfId="3" applyFont="1"/>
    <xf numFmtId="0" fontId="1" fillId="0" borderId="0" xfId="3"/>
    <xf numFmtId="0" fontId="8" fillId="0" borderId="9" xfId="3" applyFont="1" applyBorder="1"/>
    <xf numFmtId="0" fontId="8" fillId="0" borderId="8" xfId="3" applyFont="1" applyBorder="1"/>
    <xf numFmtId="0" fontId="8" fillId="0" borderId="5" xfId="3" applyFont="1" applyBorder="1"/>
    <xf numFmtId="170" fontId="8" fillId="0" borderId="0" xfId="3" applyNumberFormat="1" applyFont="1" applyBorder="1"/>
    <xf numFmtId="0" fontId="8" fillId="0" borderId="0" xfId="3" applyFont="1" applyBorder="1" applyAlignment="1">
      <alignment horizontal="right"/>
    </xf>
    <xf numFmtId="0" fontId="26" fillId="0" borderId="0" xfId="3" applyFont="1" applyBorder="1"/>
    <xf numFmtId="170" fontId="26" fillId="17" borderId="58" xfId="3" applyNumberFormat="1" applyFont="1" applyFill="1" applyBorder="1"/>
    <xf numFmtId="0" fontId="26" fillId="17" borderId="74" xfId="3" applyFont="1" applyFill="1" applyBorder="1" applyAlignment="1">
      <alignment horizontal="right"/>
    </xf>
    <xf numFmtId="0" fontId="26" fillId="0" borderId="5" xfId="3" applyFont="1" applyBorder="1"/>
    <xf numFmtId="170" fontId="8" fillId="0" borderId="58" xfId="3" applyNumberFormat="1" applyFont="1" applyBorder="1"/>
    <xf numFmtId="0" fontId="8" fillId="0" borderId="58" xfId="3" applyFont="1" applyBorder="1"/>
    <xf numFmtId="0" fontId="8" fillId="0" borderId="59" xfId="3" applyFont="1" applyBorder="1"/>
    <xf numFmtId="0" fontId="26" fillId="17" borderId="75" xfId="3" applyFont="1" applyFill="1" applyBorder="1"/>
    <xf numFmtId="0" fontId="26" fillId="17" borderId="76" xfId="3" applyFont="1" applyFill="1" applyBorder="1"/>
    <xf numFmtId="196" fontId="26" fillId="17" borderId="58" xfId="3" applyNumberFormat="1" applyFont="1" applyFill="1" applyBorder="1"/>
    <xf numFmtId="0" fontId="8" fillId="0" borderId="58" xfId="3" applyNumberFormat="1" applyFont="1" applyBorder="1"/>
    <xf numFmtId="185" fontId="8" fillId="0" borderId="58" xfId="3" applyNumberFormat="1" applyFont="1" applyBorder="1"/>
    <xf numFmtId="11" fontId="8" fillId="0" borderId="58" xfId="3" applyNumberFormat="1" applyFont="1" applyBorder="1"/>
    <xf numFmtId="175" fontId="8" fillId="0" borderId="58" xfId="3" applyNumberFormat="1" applyFont="1" applyBorder="1"/>
    <xf numFmtId="186" fontId="8" fillId="0" borderId="58" xfId="3" applyNumberFormat="1" applyFont="1" applyBorder="1"/>
    <xf numFmtId="0" fontId="8" fillId="0" borderId="57" xfId="3" applyFont="1" applyBorder="1"/>
    <xf numFmtId="0" fontId="3" fillId="0" borderId="56" xfId="20" applyFont="1" applyFill="1" applyBorder="1" applyAlignment="1" applyProtection="1">
      <alignment vertical="center" wrapText="1"/>
    </xf>
    <xf numFmtId="0" fontId="8" fillId="0" borderId="55" xfId="3" applyFont="1" applyBorder="1"/>
    <xf numFmtId="0" fontId="26" fillId="17" borderId="49" xfId="3" applyFont="1" applyFill="1" applyBorder="1"/>
    <xf numFmtId="37" fontId="8" fillId="0" borderId="0" xfId="3" applyNumberFormat="1" applyFont="1" applyBorder="1"/>
    <xf numFmtId="0" fontId="26" fillId="17" borderId="49" xfId="3" applyFont="1" applyFill="1" applyBorder="1" applyAlignment="1">
      <alignment horizontal="left"/>
    </xf>
    <xf numFmtId="0" fontId="2" fillId="0" borderId="0" xfId="54" applyBorder="1"/>
    <xf numFmtId="0" fontId="8" fillId="0" borderId="74" xfId="3" applyFont="1" applyBorder="1"/>
    <xf numFmtId="0" fontId="8" fillId="0" borderId="58" xfId="3" applyFont="1" applyBorder="1" applyAlignment="1">
      <alignment wrapText="1"/>
    </xf>
    <xf numFmtId="3" fontId="9" fillId="0" borderId="49" xfId="20" applyNumberFormat="1" applyBorder="1" applyAlignment="1">
      <alignment wrapText="1"/>
    </xf>
    <xf numFmtId="197" fontId="22" fillId="0" borderId="49" xfId="6" applyNumberFormat="1" applyFont="1" applyBorder="1" applyAlignment="1" applyProtection="1">
      <alignment wrapText="1"/>
    </xf>
    <xf numFmtId="11" fontId="22" fillId="0" borderId="49" xfId="20" applyNumberFormat="1" applyFont="1" applyBorder="1" applyAlignment="1">
      <alignment wrapText="1"/>
    </xf>
    <xf numFmtId="0" fontId="22" fillId="0" borderId="49" xfId="20" applyFont="1" applyBorder="1" applyAlignment="1" applyProtection="1">
      <alignment wrapText="1"/>
    </xf>
    <xf numFmtId="0" fontId="22" fillId="0" borderId="70" xfId="20" applyFont="1" applyBorder="1" applyAlignment="1">
      <alignment wrapText="1"/>
    </xf>
    <xf numFmtId="170" fontId="26" fillId="16" borderId="58" xfId="3" applyNumberFormat="1" applyFont="1" applyFill="1" applyBorder="1"/>
    <xf numFmtId="0" fontId="26" fillId="16" borderId="74" xfId="3" applyFont="1" applyFill="1" applyBorder="1" applyAlignment="1">
      <alignment horizontal="right"/>
    </xf>
    <xf numFmtId="0" fontId="26" fillId="16" borderId="75" xfId="3" applyFont="1" applyFill="1" applyBorder="1"/>
    <xf numFmtId="0" fontId="26" fillId="16" borderId="76" xfId="3" applyFont="1" applyFill="1" applyBorder="1"/>
    <xf numFmtId="196" fontId="26" fillId="16" borderId="58" xfId="3" applyNumberFormat="1" applyFont="1" applyFill="1" applyBorder="1"/>
    <xf numFmtId="0" fontId="8" fillId="0" borderId="49" xfId="3" applyFont="1" applyBorder="1"/>
    <xf numFmtId="0" fontId="8" fillId="0" borderId="63" xfId="3" applyFont="1" applyBorder="1"/>
    <xf numFmtId="0" fontId="26" fillId="16" borderId="77" xfId="3" applyFont="1" applyFill="1" applyBorder="1"/>
    <xf numFmtId="0" fontId="26" fillId="16" borderId="78" xfId="3" applyFont="1" applyFill="1" applyBorder="1"/>
    <xf numFmtId="0" fontId="26" fillId="16" borderId="52" xfId="3" applyFont="1" applyFill="1" applyBorder="1"/>
    <xf numFmtId="0" fontId="26" fillId="16" borderId="53" xfId="3" applyFont="1" applyFill="1" applyBorder="1"/>
    <xf numFmtId="0" fontId="26" fillId="16" borderId="36" xfId="3" applyFont="1" applyFill="1" applyBorder="1"/>
    <xf numFmtId="0" fontId="26" fillId="16" borderId="36" xfId="3" applyFont="1" applyFill="1" applyBorder="1" applyAlignment="1">
      <alignment horizontal="left"/>
    </xf>
    <xf numFmtId="0" fontId="26" fillId="16" borderId="51" xfId="3" applyFont="1" applyFill="1" applyBorder="1"/>
    <xf numFmtId="0" fontId="29" fillId="0" borderId="0" xfId="20" applyFont="1" applyBorder="1"/>
    <xf numFmtId="49" fontId="20" fillId="0" borderId="49" xfId="14" applyNumberFormat="1" applyBorder="1" applyAlignment="1" applyProtection="1"/>
    <xf numFmtId="0" fontId="22" fillId="0" borderId="49" xfId="20" applyFont="1" applyBorder="1" applyAlignment="1">
      <alignment horizontal="right"/>
    </xf>
    <xf numFmtId="37" fontId="22" fillId="0" borderId="49" xfId="20" applyNumberFormat="1" applyFont="1" applyBorder="1" applyAlignment="1">
      <alignment horizontal="right"/>
    </xf>
    <xf numFmtId="0" fontId="6" fillId="12" borderId="49" xfId="20" applyFont="1" applyFill="1" applyBorder="1"/>
    <xf numFmtId="0" fontId="8" fillId="0" borderId="0" xfId="45" applyFont="1"/>
    <xf numFmtId="0" fontId="1" fillId="0" borderId="0" xfId="45"/>
    <xf numFmtId="0" fontId="8" fillId="0" borderId="9" xfId="45" applyFont="1" applyBorder="1"/>
    <xf numFmtId="170" fontId="8" fillId="0" borderId="9" xfId="45" applyNumberFormat="1" applyFont="1" applyBorder="1"/>
    <xf numFmtId="0" fontId="8" fillId="0" borderId="9" xfId="45" applyFont="1" applyBorder="1" applyAlignment="1">
      <alignment horizontal="right"/>
    </xf>
    <xf numFmtId="0" fontId="8" fillId="0" borderId="8" xfId="45" applyFont="1" applyBorder="1"/>
    <xf numFmtId="0" fontId="26" fillId="0" borderId="0" xfId="45" applyFont="1" applyBorder="1"/>
    <xf numFmtId="170" fontId="26" fillId="16" borderId="58" xfId="45" applyNumberFormat="1" applyFont="1" applyFill="1" applyBorder="1"/>
    <xf numFmtId="0" fontId="26" fillId="16" borderId="74" xfId="45" applyFont="1" applyFill="1" applyBorder="1" applyAlignment="1">
      <alignment horizontal="right"/>
    </xf>
    <xf numFmtId="0" fontId="26" fillId="0" borderId="5" xfId="45" applyFont="1" applyBorder="1"/>
    <xf numFmtId="0" fontId="8" fillId="0" borderId="0" xfId="45" applyFont="1" applyBorder="1"/>
    <xf numFmtId="0" fontId="26" fillId="16" borderId="75" xfId="45" applyFont="1" applyFill="1" applyBorder="1"/>
    <xf numFmtId="0" fontId="26" fillId="16" borderId="76" xfId="45" applyFont="1" applyFill="1" applyBorder="1"/>
    <xf numFmtId="0" fontId="8" fillId="0" borderId="5" xfId="45" applyFont="1" applyBorder="1"/>
    <xf numFmtId="196" fontId="26" fillId="16" borderId="58" xfId="45" applyNumberFormat="1" applyFont="1" applyFill="1" applyBorder="1"/>
    <xf numFmtId="170" fontId="8" fillId="0" borderId="58" xfId="45" applyNumberFormat="1" applyFont="1" applyBorder="1"/>
    <xf numFmtId="0" fontId="8" fillId="0" borderId="58" xfId="45" applyNumberFormat="1" applyFont="1" applyBorder="1"/>
    <xf numFmtId="185" fontId="8" fillId="0" borderId="58" xfId="45" applyNumberFormat="1" applyFont="1" applyBorder="1"/>
    <xf numFmtId="11" fontId="8" fillId="0" borderId="58" xfId="45" applyNumberFormat="1" applyFont="1" applyBorder="1"/>
    <xf numFmtId="175" fontId="8" fillId="0" borderId="58" xfId="45" applyNumberFormat="1" applyFont="1" applyBorder="1"/>
    <xf numFmtId="0" fontId="8" fillId="0" borderId="58" xfId="45" applyFont="1" applyBorder="1"/>
    <xf numFmtId="0" fontId="26" fillId="16" borderId="52" xfId="45" applyFont="1" applyFill="1" applyBorder="1"/>
    <xf numFmtId="0" fontId="26" fillId="16" borderId="53" xfId="45" applyFont="1" applyFill="1" applyBorder="1"/>
    <xf numFmtId="170" fontId="8" fillId="0" borderId="0" xfId="45" applyNumberFormat="1" applyFont="1" applyBorder="1"/>
    <xf numFmtId="0" fontId="26" fillId="16" borderId="36" xfId="45" applyFont="1" applyFill="1" applyBorder="1"/>
    <xf numFmtId="37" fontId="8" fillId="0" borderId="0" xfId="45" applyNumberFormat="1" applyFont="1" applyBorder="1"/>
    <xf numFmtId="0" fontId="8" fillId="0" borderId="0" xfId="45" applyFont="1" applyBorder="1" applyAlignment="1">
      <alignment horizontal="right"/>
    </xf>
    <xf numFmtId="0" fontId="26" fillId="16" borderId="36" xfId="45" applyFont="1" applyFill="1" applyBorder="1" applyAlignment="1">
      <alignment horizontal="left"/>
    </xf>
    <xf numFmtId="0" fontId="26" fillId="16" borderId="51" xfId="45" applyFont="1" applyFill="1" applyBorder="1"/>
    <xf numFmtId="0" fontId="9" fillId="0" borderId="10" xfId="30" applyBorder="1"/>
    <xf numFmtId="0" fontId="9" fillId="0" borderId="9" xfId="30" applyBorder="1"/>
    <xf numFmtId="0" fontId="9" fillId="0" borderId="8" xfId="30" applyBorder="1"/>
    <xf numFmtId="0" fontId="9" fillId="0" borderId="5" xfId="30" applyBorder="1"/>
    <xf numFmtId="165" fontId="8" fillId="0" borderId="49" xfId="56" applyNumberFormat="1" applyFont="1" applyFill="1" applyBorder="1" applyAlignment="1"/>
    <xf numFmtId="0" fontId="9" fillId="0" borderId="3" xfId="30" applyBorder="1"/>
    <xf numFmtId="0" fontId="9" fillId="0" borderId="2" xfId="30" applyBorder="1"/>
    <xf numFmtId="0" fontId="9" fillId="6" borderId="2" xfId="30" applyFill="1" applyBorder="1"/>
    <xf numFmtId="0" fontId="9" fillId="0" borderId="1" xfId="30" applyBorder="1"/>
    <xf numFmtId="0" fontId="3" fillId="0" borderId="0" xfId="67" applyFont="1"/>
    <xf numFmtId="0" fontId="3" fillId="0" borderId="0" xfId="67" applyFont="1" applyFill="1" applyBorder="1"/>
    <xf numFmtId="0" fontId="1" fillId="0" borderId="0" xfId="68" applyFill="1" applyBorder="1"/>
    <xf numFmtId="170" fontId="3" fillId="0" borderId="0" xfId="67" applyNumberFormat="1" applyFont="1" applyFill="1" applyBorder="1"/>
    <xf numFmtId="0" fontId="3" fillId="0" borderId="0" xfId="67" applyFont="1" applyFill="1" applyBorder="1" applyAlignment="1">
      <alignment horizontal="right"/>
    </xf>
    <xf numFmtId="0" fontId="4" fillId="0" borderId="0" xfId="67" applyFont="1" applyFill="1" applyBorder="1"/>
    <xf numFmtId="170" fontId="4" fillId="0" borderId="0" xfId="67" applyNumberFormat="1" applyFont="1" applyFill="1" applyBorder="1"/>
    <xf numFmtId="0" fontId="4" fillId="0" borderId="0" xfId="67" applyFont="1" applyFill="1" applyBorder="1" applyAlignment="1">
      <alignment horizontal="right"/>
    </xf>
    <xf numFmtId="170" fontId="3" fillId="0" borderId="0" xfId="57" applyFont="1" applyFill="1" applyBorder="1" applyAlignment="1" applyProtection="1"/>
    <xf numFmtId="0" fontId="3" fillId="0" borderId="0" xfId="67" applyFont="1" applyFill="1" applyBorder="1" applyAlignment="1">
      <alignment wrapText="1"/>
    </xf>
    <xf numFmtId="2" fontId="3" fillId="0" borderId="0" xfId="67" applyNumberFormat="1" applyFont="1" applyFill="1" applyBorder="1"/>
    <xf numFmtId="0" fontId="3" fillId="0" borderId="0" xfId="67" applyNumberFormat="1" applyFont="1" applyFill="1" applyBorder="1"/>
    <xf numFmtId="170" fontId="3" fillId="0" borderId="0" xfId="57" applyNumberFormat="1" applyFont="1" applyFill="1" applyBorder="1" applyAlignment="1" applyProtection="1"/>
    <xf numFmtId="0" fontId="3" fillId="0" borderId="0" xfId="69" applyNumberFormat="1" applyFont="1" applyFill="1" applyBorder="1" applyAlignment="1" applyProtection="1"/>
    <xf numFmtId="185" fontId="3" fillId="0" borderId="0" xfId="69" applyNumberFormat="1" applyFont="1" applyFill="1" applyBorder="1" applyAlignment="1" applyProtection="1"/>
    <xf numFmtId="11" fontId="3" fillId="0" borderId="0" xfId="69" applyNumberFormat="1" applyFont="1" applyFill="1" applyBorder="1" applyAlignment="1" applyProtection="1"/>
    <xf numFmtId="11" fontId="3" fillId="0" borderId="0" xfId="67" applyNumberFormat="1" applyFont="1" applyFill="1" applyBorder="1"/>
    <xf numFmtId="175" fontId="3" fillId="0" borderId="0" xfId="69" applyFont="1" applyFill="1" applyBorder="1" applyAlignment="1" applyProtection="1"/>
    <xf numFmtId="173" fontId="3" fillId="0" borderId="0" xfId="67" applyNumberFormat="1" applyFont="1" applyFill="1" applyBorder="1"/>
    <xf numFmtId="0" fontId="3" fillId="0" borderId="0" xfId="67" applyFont="1" applyFill="1" applyBorder="1" applyAlignment="1">
      <alignment horizontal="left"/>
    </xf>
    <xf numFmtId="0" fontId="5" fillId="0" borderId="0" xfId="67" applyFont="1" applyFill="1" applyBorder="1"/>
    <xf numFmtId="37" fontId="3" fillId="0" borderId="0" xfId="69" applyNumberFormat="1" applyFont="1" applyFill="1" applyBorder="1" applyAlignment="1" applyProtection="1"/>
    <xf numFmtId="0" fontId="8" fillId="0" borderId="0" xfId="68" applyFont="1" applyFill="1" applyBorder="1" applyAlignment="1">
      <alignment horizontal="right"/>
    </xf>
    <xf numFmtId="0" fontId="4" fillId="0" borderId="0" xfId="67" applyFont="1" applyFill="1" applyBorder="1" applyAlignment="1">
      <alignment horizontal="left"/>
    </xf>
    <xf numFmtId="0" fontId="8" fillId="0" borderId="74" xfId="45" applyFont="1" applyBorder="1"/>
    <xf numFmtId="11" fontId="3" fillId="0" borderId="80" xfId="67" applyNumberFormat="1" applyFont="1" applyFill="1" applyBorder="1"/>
    <xf numFmtId="199" fontId="22" fillId="0" borderId="49" xfId="20" applyNumberFormat="1" applyFont="1" applyBorder="1" applyAlignment="1"/>
    <xf numFmtId="170" fontId="6" fillId="13" borderId="32" xfId="20" applyNumberFormat="1" applyFont="1" applyFill="1" applyBorder="1" applyAlignment="1">
      <alignment wrapText="1"/>
    </xf>
    <xf numFmtId="0" fontId="6" fillId="13" borderId="32" xfId="20" applyFont="1" applyFill="1" applyBorder="1" applyAlignment="1">
      <alignment horizontal="right" wrapText="1"/>
    </xf>
    <xf numFmtId="0" fontId="6" fillId="0" borderId="25" xfId="20" applyFont="1" applyBorder="1" applyAlignment="1">
      <alignment wrapText="1"/>
    </xf>
    <xf numFmtId="170" fontId="8" fillId="0" borderId="58" xfId="45" applyNumberFormat="1" applyFont="1" applyBorder="1" applyAlignment="1">
      <alignment wrapText="1"/>
    </xf>
    <xf numFmtId="0" fontId="8" fillId="0" borderId="58" xfId="45" applyFont="1" applyBorder="1" applyAlignment="1">
      <alignment wrapText="1"/>
    </xf>
    <xf numFmtId="0" fontId="8" fillId="0" borderId="74" xfId="45" applyFont="1" applyBorder="1" applyAlignment="1">
      <alignment wrapText="1"/>
    </xf>
    <xf numFmtId="0" fontId="6" fillId="13" borderId="49" xfId="20" applyFont="1" applyFill="1" applyBorder="1" applyAlignment="1">
      <alignment wrapText="1"/>
    </xf>
    <xf numFmtId="0" fontId="6" fillId="13" borderId="70" xfId="20" applyFont="1" applyFill="1" applyBorder="1" applyAlignment="1">
      <alignment wrapText="1"/>
    </xf>
    <xf numFmtId="0" fontId="9" fillId="0" borderId="25" xfId="20" applyBorder="1" applyAlignment="1">
      <alignment wrapText="1"/>
    </xf>
    <xf numFmtId="0" fontId="6" fillId="13" borderId="49" xfId="20" applyFont="1" applyFill="1" applyBorder="1" applyAlignment="1">
      <alignment horizontal="right" wrapText="1"/>
    </xf>
    <xf numFmtId="11" fontId="22" fillId="0" borderId="49" xfId="6" applyNumberFormat="1" applyFont="1" applyBorder="1" applyAlignment="1" applyProtection="1">
      <alignment wrapText="1"/>
    </xf>
    <xf numFmtId="11" fontId="3" fillId="0" borderId="80" xfId="67" applyNumberFormat="1" applyFont="1" applyFill="1" applyBorder="1" applyAlignment="1">
      <alignment wrapText="1"/>
    </xf>
    <xf numFmtId="199" fontId="22" fillId="0" borderId="49" xfId="20" applyNumberFormat="1" applyFont="1" applyBorder="1" applyAlignment="1">
      <alignment wrapText="1"/>
    </xf>
    <xf numFmtId="170" fontId="6" fillId="12" borderId="6" xfId="20" applyNumberFormat="1" applyFont="1" applyFill="1" applyBorder="1" applyAlignment="1"/>
    <xf numFmtId="172" fontId="3" fillId="0" borderId="49" xfId="24" applyFont="1" applyBorder="1" applyAlignment="1">
      <alignment vertical="center" wrapText="1"/>
    </xf>
    <xf numFmtId="0" fontId="3" fillId="0" borderId="63" xfId="20" applyFont="1" applyFill="1" applyBorder="1" applyAlignment="1">
      <alignment wrapText="1"/>
    </xf>
    <xf numFmtId="0" fontId="6" fillId="12" borderId="6" xfId="20" applyFont="1" applyFill="1" applyBorder="1" applyAlignment="1"/>
    <xf numFmtId="0" fontId="6" fillId="12" borderId="41" xfId="20" applyFont="1" applyFill="1" applyBorder="1" applyAlignment="1"/>
    <xf numFmtId="0" fontId="3" fillId="0" borderId="4" xfId="20" applyFont="1" applyFill="1" applyBorder="1"/>
    <xf numFmtId="171" fontId="3" fillId="0" borderId="49" xfId="20" applyNumberFormat="1" applyFont="1" applyFill="1" applyBorder="1" applyAlignment="1">
      <alignment wrapText="1"/>
    </xf>
    <xf numFmtId="0" fontId="3" fillId="0" borderId="49" xfId="20" applyFont="1" applyFill="1" applyBorder="1" applyAlignment="1">
      <alignment wrapText="1"/>
    </xf>
    <xf numFmtId="0" fontId="3" fillId="0" borderId="49" xfId="20" applyNumberFormat="1" applyFont="1" applyFill="1" applyBorder="1" applyAlignment="1">
      <alignment wrapText="1"/>
    </xf>
    <xf numFmtId="0" fontId="3" fillId="0" borderId="44" xfId="20" applyFont="1" applyFill="1" applyBorder="1" applyAlignment="1">
      <alignment wrapText="1"/>
    </xf>
    <xf numFmtId="166" fontId="8" fillId="0" borderId="71" xfId="1" applyFont="1" applyBorder="1" applyAlignment="1">
      <alignment wrapText="1"/>
    </xf>
    <xf numFmtId="0" fontId="3" fillId="0" borderId="71" xfId="4" applyFont="1" applyFill="1" applyBorder="1" applyAlignment="1">
      <alignment wrapText="1"/>
    </xf>
    <xf numFmtId="166" fontId="3" fillId="0" borderId="38" xfId="1" applyFont="1" applyFill="1" applyBorder="1"/>
    <xf numFmtId="0" fontId="3" fillId="0" borderId="44" xfId="20" applyFont="1" applyFill="1" applyBorder="1"/>
    <xf numFmtId="0" fontId="6" fillId="0" borderId="4" xfId="20" applyFont="1" applyBorder="1"/>
    <xf numFmtId="0" fontId="22" fillId="0" borderId="0" xfId="6" applyNumberFormat="1" applyFont="1" applyBorder="1" applyAlignment="1"/>
    <xf numFmtId="0" fontId="6" fillId="12" borderId="0" xfId="20" applyFont="1" applyFill="1" applyBorder="1" applyAlignment="1"/>
    <xf numFmtId="0" fontId="9" fillId="0" borderId="45" xfId="20" applyBorder="1"/>
    <xf numFmtId="170" fontId="6" fillId="13" borderId="81" xfId="20" applyNumberFormat="1" applyFont="1" applyFill="1" applyBorder="1" applyAlignment="1"/>
    <xf numFmtId="0" fontId="6" fillId="13" borderId="63" xfId="20" applyFont="1" applyFill="1" applyBorder="1" applyAlignment="1"/>
    <xf numFmtId="165" fontId="22" fillId="0" borderId="49" xfId="20" applyNumberFormat="1" applyFont="1" applyBorder="1" applyAlignment="1">
      <alignment wrapText="1"/>
    </xf>
    <xf numFmtId="0" fontId="22" fillId="0" borderId="63" xfId="20" applyFont="1" applyBorder="1" applyAlignment="1">
      <alignment wrapText="1"/>
    </xf>
    <xf numFmtId="0" fontId="6" fillId="13" borderId="43" xfId="20" applyFont="1" applyFill="1" applyBorder="1" applyAlignment="1"/>
    <xf numFmtId="0" fontId="6" fillId="13" borderId="41" xfId="20" applyFont="1" applyFill="1" applyBorder="1" applyAlignment="1"/>
    <xf numFmtId="170" fontId="6" fillId="13" borderId="49" xfId="20" applyNumberFormat="1" applyFont="1" applyFill="1" applyBorder="1" applyAlignment="1"/>
    <xf numFmtId="0" fontId="3" fillId="0" borderId="38" xfId="20" applyFont="1" applyFill="1" applyBorder="1"/>
    <xf numFmtId="165" fontId="22" fillId="0" borderId="49" xfId="20" applyNumberFormat="1" applyFont="1" applyBorder="1" applyAlignment="1"/>
    <xf numFmtId="0" fontId="22" fillId="0" borderId="63" xfId="20" applyFont="1" applyBorder="1" applyAlignment="1"/>
    <xf numFmtId="0" fontId="9" fillId="0" borderId="71" xfId="20" applyBorder="1" applyAlignment="1">
      <alignment wrapText="1"/>
    </xf>
    <xf numFmtId="170" fontId="3" fillId="0" borderId="6" xfId="6" applyNumberFormat="1" applyFont="1" applyBorder="1" applyAlignment="1" applyProtection="1">
      <alignment wrapText="1"/>
    </xf>
    <xf numFmtId="170" fontId="22" fillId="0" borderId="49" xfId="6" applyNumberFormat="1" applyFont="1" applyFill="1" applyBorder="1" applyAlignment="1" applyProtection="1">
      <alignment wrapText="1"/>
    </xf>
    <xf numFmtId="0" fontId="5" fillId="0" borderId="71" xfId="4" applyFont="1" applyFill="1" applyBorder="1" applyAlignment="1">
      <alignment wrapText="1"/>
    </xf>
    <xf numFmtId="0" fontId="8" fillId="0" borderId="0" xfId="28" applyFont="1"/>
    <xf numFmtId="0" fontId="1" fillId="0" borderId="0" xfId="28"/>
    <xf numFmtId="0" fontId="8" fillId="0" borderId="9" xfId="28" applyFont="1" applyBorder="1"/>
    <xf numFmtId="170" fontId="8" fillId="0" borderId="9" xfId="28" applyNumberFormat="1" applyFont="1" applyBorder="1"/>
    <xf numFmtId="0" fontId="8" fillId="0" borderId="9" xfId="28" applyFont="1" applyBorder="1" applyAlignment="1">
      <alignment horizontal="right"/>
    </xf>
    <xf numFmtId="0" fontId="8" fillId="0" borderId="8" xfId="28" applyFont="1" applyBorder="1"/>
    <xf numFmtId="0" fontId="26" fillId="0" borderId="0" xfId="28" applyFont="1" applyBorder="1"/>
    <xf numFmtId="170" fontId="26" fillId="16" borderId="58" xfId="28" applyNumberFormat="1" applyFont="1" applyFill="1" applyBorder="1"/>
    <xf numFmtId="0" fontId="26" fillId="16" borderId="74" xfId="28" applyFont="1" applyFill="1" applyBorder="1" applyAlignment="1">
      <alignment horizontal="right"/>
    </xf>
    <xf numFmtId="0" fontId="26" fillId="0" borderId="5" xfId="28" applyFont="1" applyBorder="1"/>
    <xf numFmtId="0" fontId="26" fillId="16" borderId="75" xfId="28" applyFont="1" applyFill="1" applyBorder="1"/>
    <xf numFmtId="0" fontId="26" fillId="16" borderId="76" xfId="28" applyFont="1" applyFill="1" applyBorder="1"/>
    <xf numFmtId="0" fontId="8" fillId="0" borderId="5" xfId="28" applyFont="1" applyBorder="1"/>
    <xf numFmtId="196" fontId="26" fillId="16" borderId="58" xfId="28" applyNumberFormat="1" applyFont="1" applyFill="1" applyBorder="1"/>
    <xf numFmtId="170" fontId="8" fillId="0" borderId="58" xfId="28" applyNumberFormat="1" applyFont="1" applyBorder="1"/>
    <xf numFmtId="0" fontId="8" fillId="0" borderId="58" xfId="28" applyNumberFormat="1" applyFont="1" applyBorder="1"/>
    <xf numFmtId="185" fontId="8" fillId="0" borderId="58" xfId="28" applyNumberFormat="1" applyFont="1" applyBorder="1"/>
    <xf numFmtId="11" fontId="8" fillId="0" borderId="58" xfId="28" applyNumberFormat="1" applyFont="1" applyBorder="1"/>
    <xf numFmtId="175" fontId="8" fillId="0" borderId="58" xfId="28" applyNumberFormat="1" applyFont="1" applyBorder="1"/>
    <xf numFmtId="0" fontId="8" fillId="0" borderId="58" xfId="28" applyFont="1" applyBorder="1"/>
    <xf numFmtId="186" fontId="8" fillId="0" borderId="58" xfId="28" applyNumberFormat="1" applyFont="1" applyBorder="1"/>
    <xf numFmtId="0" fontId="8" fillId="0" borderId="57" xfId="28" applyFont="1" applyBorder="1"/>
    <xf numFmtId="0" fontId="8" fillId="0" borderId="55" xfId="28" applyFont="1" applyBorder="1"/>
    <xf numFmtId="0" fontId="26" fillId="16" borderId="52" xfId="28" applyFont="1" applyFill="1" applyBorder="1"/>
    <xf numFmtId="0" fontId="26" fillId="16" borderId="53" xfId="28" applyFont="1" applyFill="1" applyBorder="1"/>
    <xf numFmtId="170" fontId="8" fillId="0" borderId="0" xfId="28" applyNumberFormat="1" applyFont="1" applyBorder="1"/>
    <xf numFmtId="0" fontId="26" fillId="16" borderId="36" xfId="28" applyFont="1" applyFill="1" applyBorder="1"/>
    <xf numFmtId="37" fontId="8" fillId="0" borderId="0" xfId="28" applyNumberFormat="1" applyFont="1" applyBorder="1"/>
    <xf numFmtId="0" fontId="8" fillId="0" borderId="0" xfId="28" applyFont="1" applyBorder="1" applyAlignment="1">
      <alignment horizontal="right"/>
    </xf>
    <xf numFmtId="0" fontId="26" fillId="16" borderId="36" xfId="28" applyFont="1" applyFill="1" applyBorder="1" applyAlignment="1">
      <alignment horizontal="left"/>
    </xf>
    <xf numFmtId="0" fontId="26" fillId="16" borderId="51" xfId="28" applyFont="1" applyFill="1" applyBorder="1"/>
    <xf numFmtId="0" fontId="1" fillId="0" borderId="0" xfId="70" applyFill="1" applyBorder="1"/>
    <xf numFmtId="0" fontId="8" fillId="0" borderId="0" xfId="70" applyFont="1" applyFill="1" applyBorder="1" applyAlignment="1">
      <alignment horizontal="right"/>
    </xf>
    <xf numFmtId="0" fontId="8" fillId="0" borderId="74" xfId="28" applyFont="1" applyBorder="1"/>
    <xf numFmtId="0" fontId="6" fillId="13" borderId="83" xfId="20" applyFont="1" applyFill="1" applyBorder="1"/>
    <xf numFmtId="11" fontId="3" fillId="0" borderId="84" xfId="67" applyNumberFormat="1" applyFont="1" applyFill="1" applyBorder="1"/>
    <xf numFmtId="175" fontId="22" fillId="0" borderId="85" xfId="6" applyNumberFormat="1" applyFont="1" applyBorder="1" applyAlignment="1" applyProtection="1"/>
    <xf numFmtId="0" fontId="22" fillId="0" borderId="85" xfId="20" applyFont="1" applyBorder="1" applyAlignment="1"/>
    <xf numFmtId="199" fontId="22" fillId="0" borderId="85" xfId="20" applyNumberFormat="1" applyFont="1" applyBorder="1" applyAlignment="1"/>
    <xf numFmtId="170" fontId="22" fillId="0" borderId="85" xfId="6" applyNumberFormat="1" applyFont="1" applyBorder="1" applyAlignment="1" applyProtection="1"/>
    <xf numFmtId="0" fontId="22" fillId="0" borderId="85" xfId="20" applyFont="1" applyBorder="1" applyAlignment="1" applyProtection="1"/>
    <xf numFmtId="0" fontId="22" fillId="0" borderId="86" xfId="20" applyFont="1" applyBorder="1" applyAlignment="1"/>
    <xf numFmtId="0" fontId="6" fillId="13" borderId="85" xfId="20" applyFont="1" applyFill="1" applyBorder="1"/>
    <xf numFmtId="170" fontId="8" fillId="0" borderId="58" xfId="28" applyNumberFormat="1" applyFont="1" applyBorder="1" applyAlignment="1">
      <alignment wrapText="1"/>
    </xf>
    <xf numFmtId="0" fontId="8" fillId="0" borderId="58" xfId="28" applyFont="1" applyBorder="1" applyAlignment="1">
      <alignment wrapText="1"/>
    </xf>
    <xf numFmtId="0" fontId="8" fillId="0" borderId="74" xfId="28" applyFont="1" applyBorder="1" applyAlignment="1">
      <alignment wrapText="1"/>
    </xf>
    <xf numFmtId="0" fontId="6" fillId="13" borderId="86" xfId="20" applyFont="1" applyFill="1" applyBorder="1"/>
    <xf numFmtId="11" fontId="3" fillId="0" borderId="49" xfId="31" applyNumberFormat="1" applyFont="1" applyFill="1" applyBorder="1" applyAlignment="1">
      <alignment wrapText="1"/>
    </xf>
    <xf numFmtId="11" fontId="3" fillId="0" borderId="87" xfId="67" applyNumberFormat="1" applyFont="1" applyFill="1" applyBorder="1" applyAlignment="1">
      <alignment wrapText="1"/>
    </xf>
    <xf numFmtId="175" fontId="22" fillId="0" borderId="88" xfId="6" applyNumberFormat="1" applyFont="1" applyBorder="1" applyAlignment="1" applyProtection="1">
      <alignment wrapText="1"/>
    </xf>
    <xf numFmtId="0" fontId="22" fillId="0" borderId="88" xfId="20" applyFont="1" applyBorder="1" applyAlignment="1">
      <alignment wrapText="1"/>
    </xf>
    <xf numFmtId="199" fontId="22" fillId="0" borderId="88" xfId="20" applyNumberFormat="1" applyFont="1" applyBorder="1" applyAlignment="1">
      <alignment wrapText="1"/>
    </xf>
    <xf numFmtId="170" fontId="22" fillId="0" borderId="88" xfId="6" applyNumberFormat="1" applyFont="1" applyBorder="1" applyAlignment="1" applyProtection="1">
      <alignment wrapText="1"/>
    </xf>
    <xf numFmtId="0" fontId="22" fillId="0" borderId="88" xfId="20" applyFont="1" applyBorder="1" applyAlignment="1" applyProtection="1">
      <alignment wrapText="1"/>
    </xf>
    <xf numFmtId="0" fontId="22" fillId="0" borderId="89" xfId="20" applyFont="1" applyBorder="1" applyAlignment="1">
      <alignment wrapText="1"/>
    </xf>
    <xf numFmtId="0" fontId="6" fillId="13" borderId="88" xfId="20" applyFont="1" applyFill="1" applyBorder="1"/>
    <xf numFmtId="170" fontId="8" fillId="0" borderId="49" xfId="28" applyNumberFormat="1" applyFont="1" applyBorder="1"/>
    <xf numFmtId="0" fontId="3" fillId="0" borderId="49" xfId="20" applyFont="1" applyBorder="1"/>
    <xf numFmtId="164" fontId="8" fillId="0" borderId="49" xfId="16" applyFont="1" applyBorder="1"/>
    <xf numFmtId="0" fontId="8" fillId="0" borderId="90" xfId="28" applyFont="1" applyBorder="1"/>
    <xf numFmtId="0" fontId="8" fillId="0" borderId="49" xfId="28" applyFont="1" applyBorder="1"/>
    <xf numFmtId="0" fontId="26" fillId="16" borderId="77" xfId="28" applyFont="1" applyFill="1" applyBorder="1"/>
    <xf numFmtId="0" fontId="26" fillId="16" borderId="78" xfId="28" applyFont="1" applyFill="1" applyBorder="1"/>
    <xf numFmtId="0" fontId="6" fillId="13" borderId="89" xfId="20" applyFont="1" applyFill="1" applyBorder="1"/>
    <xf numFmtId="11" fontId="3" fillId="0" borderId="91" xfId="67" applyNumberFormat="1" applyFont="1" applyFill="1" applyBorder="1"/>
    <xf numFmtId="175" fontId="22" fillId="0" borderId="92" xfId="6" applyNumberFormat="1" applyFont="1" applyBorder="1" applyAlignment="1" applyProtection="1"/>
    <xf numFmtId="0" fontId="22" fillId="0" borderId="92" xfId="20" applyFont="1" applyBorder="1" applyAlignment="1"/>
    <xf numFmtId="199" fontId="22" fillId="0" borderId="92" xfId="20" applyNumberFormat="1" applyFont="1" applyBorder="1" applyAlignment="1"/>
    <xf numFmtId="170" fontId="22" fillId="0" borderId="92" xfId="6" applyNumberFormat="1" applyFont="1" applyBorder="1" applyAlignment="1" applyProtection="1"/>
    <xf numFmtId="0" fontId="22" fillId="0" borderId="92" xfId="20" applyFont="1" applyBorder="1" applyAlignment="1" applyProtection="1"/>
    <xf numFmtId="0" fontId="22" fillId="0" borderId="93" xfId="20" applyFont="1" applyBorder="1" applyAlignment="1"/>
    <xf numFmtId="0" fontId="6" fillId="13" borderId="92" xfId="20" applyFont="1" applyFill="1" applyBorder="1"/>
    <xf numFmtId="18" fontId="19" fillId="11" borderId="49" xfId="12" applyNumberFormat="1" applyFont="1" applyFill="1" applyBorder="1" applyAlignment="1" applyProtection="1">
      <alignment horizontal="right"/>
      <protection locked="0"/>
    </xf>
    <xf numFmtId="0" fontId="19" fillId="0" borderId="0" xfId="12" applyFont="1" applyFill="1" applyBorder="1" applyProtection="1">
      <protection locked="0"/>
    </xf>
    <xf numFmtId="18" fontId="19" fillId="0" borderId="0" xfId="12" applyNumberFormat="1" applyFont="1" applyFill="1" applyBorder="1" applyAlignment="1" applyProtection="1">
      <protection locked="0"/>
    </xf>
    <xf numFmtId="167" fontId="19" fillId="0" borderId="0" xfId="13" applyFont="1" applyFill="1" applyBorder="1" applyProtection="1">
      <protection locked="0"/>
    </xf>
    <xf numFmtId="171" fontId="19" fillId="0" borderId="0" xfId="12" applyNumberFormat="1" applyFont="1" applyFill="1" applyBorder="1" applyAlignment="1">
      <alignment horizontal="right"/>
    </xf>
    <xf numFmtId="0" fontId="19" fillId="0" borderId="0" xfId="12" applyFont="1" applyFill="1" applyBorder="1" applyAlignment="1">
      <alignment horizontal="center"/>
    </xf>
    <xf numFmtId="0" fontId="3" fillId="0" borderId="41" xfId="20" applyFont="1" applyFill="1" applyBorder="1"/>
    <xf numFmtId="0" fontId="3" fillId="0" borderId="41" xfId="20" applyFont="1" applyBorder="1"/>
    <xf numFmtId="0" fontId="3" fillId="0" borderId="47" xfId="20" applyFont="1" applyBorder="1"/>
    <xf numFmtId="0" fontId="3" fillId="0" borderId="94" xfId="4" applyFont="1" applyFill="1" applyBorder="1" applyAlignment="1">
      <alignment wrapText="1"/>
    </xf>
    <xf numFmtId="0" fontId="3" fillId="0" borderId="82" xfId="20" applyFont="1" applyBorder="1"/>
    <xf numFmtId="0" fontId="22" fillId="0" borderId="61" xfId="20" applyFont="1" applyBorder="1"/>
    <xf numFmtId="0" fontId="20" fillId="0" borderId="60" xfId="14" applyNumberFormat="1" applyBorder="1" applyAlignment="1" applyProtection="1"/>
    <xf numFmtId="37" fontId="22" fillId="0" borderId="60" xfId="20" applyNumberFormat="1" applyFont="1" applyBorder="1"/>
    <xf numFmtId="175" fontId="22" fillId="0" borderId="60" xfId="6" applyNumberFormat="1" applyFont="1" applyBorder="1" applyAlignment="1" applyProtection="1"/>
    <xf numFmtId="179" fontId="22" fillId="0" borderId="60" xfId="6" applyNumberFormat="1" applyFont="1" applyBorder="1" applyAlignment="1" applyProtection="1"/>
    <xf numFmtId="0" fontId="22" fillId="0" borderId="60" xfId="20" applyFont="1" applyBorder="1" applyAlignment="1">
      <alignment wrapText="1"/>
    </xf>
    <xf numFmtId="0" fontId="22" fillId="0" borderId="60" xfId="20" applyFont="1" applyBorder="1" applyAlignment="1"/>
    <xf numFmtId="11" fontId="22" fillId="0" borderId="60" xfId="20" applyNumberFormat="1" applyFont="1" applyBorder="1" applyAlignment="1"/>
    <xf numFmtId="180" fontId="22" fillId="0" borderId="60" xfId="6" applyNumberFormat="1" applyFont="1" applyBorder="1" applyAlignment="1" applyProtection="1"/>
    <xf numFmtId="177" fontId="22" fillId="0" borderId="60" xfId="6" applyNumberFormat="1" applyFont="1" applyBorder="1" applyAlignment="1" applyProtection="1"/>
    <xf numFmtId="0" fontId="9" fillId="0" borderId="60" xfId="20" applyBorder="1" applyAlignment="1"/>
    <xf numFmtId="0" fontId="9" fillId="0" borderId="61" xfId="20" applyBorder="1"/>
    <xf numFmtId="0" fontId="9" fillId="0" borderId="60" xfId="20" applyBorder="1"/>
    <xf numFmtId="0" fontId="3" fillId="0" borderId="61" xfId="65" applyFont="1" applyFill="1" applyBorder="1"/>
    <xf numFmtId="0" fontId="3" fillId="0" borderId="60" xfId="65" applyNumberFormat="1" applyFont="1" applyFill="1" applyBorder="1"/>
    <xf numFmtId="0" fontId="3" fillId="0" borderId="60" xfId="65" applyFont="1" applyFill="1" applyBorder="1"/>
    <xf numFmtId="0" fontId="3" fillId="0" borderId="60" xfId="0" applyFont="1" applyFill="1" applyBorder="1"/>
    <xf numFmtId="11" fontId="3" fillId="0" borderId="60" xfId="0" applyNumberFormat="1" applyFont="1" applyFill="1" applyBorder="1"/>
    <xf numFmtId="166" fontId="3" fillId="0" borderId="60" xfId="1" applyNumberFormat="1" applyFont="1" applyFill="1" applyBorder="1"/>
    <xf numFmtId="2" fontId="3" fillId="0" borderId="60" xfId="1" applyNumberFormat="1" applyFont="1" applyFill="1" applyBorder="1"/>
    <xf numFmtId="0" fontId="3" fillId="0" borderId="60" xfId="0" applyNumberFormat="1" applyFont="1" applyFill="1" applyBorder="1"/>
    <xf numFmtId="0" fontId="5" fillId="0" borderId="60" xfId="4" applyFont="1" applyFill="1" applyBorder="1" applyAlignment="1">
      <alignment wrapText="1"/>
    </xf>
    <xf numFmtId="0" fontId="8" fillId="0" borderId="74" xfId="0" applyFont="1" applyBorder="1"/>
    <xf numFmtId="0" fontId="8" fillId="0" borderId="58" xfId="0" applyFont="1" applyBorder="1"/>
    <xf numFmtId="170" fontId="8" fillId="0" borderId="58" xfId="0" applyNumberFormat="1" applyFont="1" applyBorder="1"/>
    <xf numFmtId="173" fontId="8" fillId="0" borderId="58" xfId="0" applyNumberFormat="1" applyFont="1" applyBorder="1"/>
    <xf numFmtId="175" fontId="8" fillId="0" borderId="58" xfId="0" applyNumberFormat="1" applyFont="1" applyBorder="1"/>
    <xf numFmtId="2" fontId="8" fillId="0" borderId="58" xfId="0" applyNumberFormat="1" applyFont="1" applyBorder="1"/>
    <xf numFmtId="171" fontId="12" fillId="0" borderId="0" xfId="12" applyNumberFormat="1" applyFont="1"/>
    <xf numFmtId="0" fontId="3" fillId="0" borderId="60" xfId="15" applyFont="1" applyFill="1" applyBorder="1" applyAlignment="1">
      <alignment horizontal="left" wrapText="1"/>
    </xf>
    <xf numFmtId="166" fontId="8" fillId="0" borderId="0" xfId="23" applyNumberFormat="1" applyFont="1" applyFill="1" applyBorder="1"/>
    <xf numFmtId="171" fontId="15" fillId="0" borderId="0" xfId="12" applyNumberFormat="1" applyFont="1"/>
    <xf numFmtId="200" fontId="15" fillId="0" borderId="0" xfId="12" applyNumberFormat="1" applyFont="1"/>
    <xf numFmtId="0" fontId="22" fillId="18" borderId="61" xfId="20" applyFont="1" applyFill="1" applyBorder="1"/>
    <xf numFmtId="0" fontId="3" fillId="18" borderId="0" xfId="0" applyFont="1" applyFill="1" applyBorder="1" applyAlignment="1" applyProtection="1">
      <alignment vertical="center" wrapText="1"/>
    </xf>
    <xf numFmtId="0" fontId="22" fillId="18" borderId="60" xfId="20" applyFont="1" applyFill="1" applyBorder="1"/>
    <xf numFmtId="166" fontId="3" fillId="18" borderId="0" xfId="0" applyNumberFormat="1" applyFont="1" applyFill="1" applyBorder="1" applyAlignment="1" applyProtection="1">
      <alignment vertical="center" wrapText="1"/>
    </xf>
    <xf numFmtId="175" fontId="22" fillId="18" borderId="60" xfId="6" applyNumberFormat="1" applyFont="1" applyFill="1" applyBorder="1" applyAlignment="1" applyProtection="1"/>
    <xf numFmtId="11" fontId="22" fillId="18" borderId="60" xfId="20" applyNumberFormat="1" applyFont="1" applyFill="1" applyBorder="1"/>
    <xf numFmtId="176" fontId="22" fillId="18" borderId="60" xfId="6" applyNumberFormat="1" applyFont="1" applyFill="1" applyBorder="1" applyAlignment="1" applyProtection="1"/>
    <xf numFmtId="179" fontId="22" fillId="18" borderId="60" xfId="6" applyNumberFormat="1" applyFont="1" applyFill="1" applyBorder="1" applyAlignment="1" applyProtection="1"/>
    <xf numFmtId="170" fontId="22" fillId="18" borderId="60" xfId="6" applyNumberFormat="1" applyFont="1" applyFill="1" applyBorder="1" applyAlignment="1" applyProtection="1"/>
    <xf numFmtId="170" fontId="6" fillId="19" borderId="6" xfId="20" applyNumberFormat="1" applyFont="1" applyFill="1" applyBorder="1"/>
    <xf numFmtId="0" fontId="3" fillId="18" borderId="60" xfId="0" applyFont="1" applyFill="1" applyBorder="1"/>
    <xf numFmtId="0" fontId="3" fillId="18" borderId="60" xfId="0" applyNumberFormat="1" applyFont="1" applyFill="1" applyBorder="1"/>
    <xf numFmtId="166" fontId="3" fillId="18" borderId="60" xfId="1" applyFont="1" applyFill="1" applyBorder="1"/>
    <xf numFmtId="0" fontId="22" fillId="18" borderId="6" xfId="20" applyFont="1" applyFill="1" applyBorder="1"/>
    <xf numFmtId="167" fontId="3" fillId="18" borderId="60" xfId="2" applyFont="1" applyFill="1" applyBorder="1"/>
    <xf numFmtId="11" fontId="3" fillId="18" borderId="60" xfId="0" applyNumberFormat="1" applyFont="1" applyFill="1" applyBorder="1"/>
    <xf numFmtId="182" fontId="3" fillId="18" borderId="60" xfId="2" applyNumberFormat="1" applyFont="1" applyFill="1" applyBorder="1"/>
    <xf numFmtId="166" fontId="3" fillId="18" borderId="60" xfId="1" applyNumberFormat="1" applyFont="1" applyFill="1" applyBorder="1"/>
    <xf numFmtId="170" fontId="22" fillId="18" borderId="49" xfId="6" applyNumberFormat="1" applyFont="1" applyFill="1" applyBorder="1" applyAlignment="1" applyProtection="1"/>
    <xf numFmtId="0" fontId="0" fillId="18" borderId="60" xfId="0" applyFill="1" applyBorder="1"/>
    <xf numFmtId="0" fontId="8" fillId="18" borderId="58" xfId="0" applyFont="1" applyFill="1" applyBorder="1"/>
    <xf numFmtId="0" fontId="9" fillId="18" borderId="49" xfId="30" applyFill="1" applyBorder="1"/>
    <xf numFmtId="0" fontId="8" fillId="20" borderId="58" xfId="0" applyFont="1" applyFill="1" applyBorder="1"/>
    <xf numFmtId="0" fontId="3" fillId="20" borderId="60" xfId="15" applyFont="1" applyFill="1" applyBorder="1" applyAlignment="1" applyProtection="1">
      <alignment wrapText="1"/>
    </xf>
    <xf numFmtId="0" fontId="3" fillId="20" borderId="60" xfId="0" applyNumberFormat="1" applyFont="1" applyFill="1" applyBorder="1"/>
    <xf numFmtId="0" fontId="3" fillId="20" borderId="60" xfId="0" applyFont="1" applyFill="1" applyBorder="1"/>
    <xf numFmtId="0" fontId="0" fillId="20" borderId="60" xfId="0" applyFill="1" applyBorder="1"/>
    <xf numFmtId="0" fontId="8" fillId="0" borderId="58" xfId="0" applyFont="1" applyFill="1" applyBorder="1"/>
    <xf numFmtId="170" fontId="8" fillId="0" borderId="58" xfId="0" applyNumberFormat="1" applyFont="1" applyFill="1" applyBorder="1"/>
    <xf numFmtId="170" fontId="8" fillId="0" borderId="58" xfId="45" applyNumberFormat="1" applyFont="1" applyFill="1" applyBorder="1"/>
    <xf numFmtId="0" fontId="22" fillId="18" borderId="63" xfId="20" applyFont="1" applyFill="1" applyBorder="1"/>
    <xf numFmtId="0" fontId="22" fillId="18" borderId="49" xfId="20" applyFont="1" applyFill="1" applyBorder="1"/>
    <xf numFmtId="175" fontId="22" fillId="18" borderId="49" xfId="6" applyNumberFormat="1" applyFont="1" applyFill="1" applyBorder="1" applyAlignment="1" applyProtection="1"/>
    <xf numFmtId="11" fontId="22" fillId="18" borderId="49" xfId="20" applyNumberFormat="1" applyFont="1" applyFill="1" applyBorder="1"/>
    <xf numFmtId="176" fontId="22" fillId="18" borderId="49" xfId="6" applyNumberFormat="1" applyFont="1" applyFill="1" applyBorder="1" applyAlignment="1" applyProtection="1"/>
    <xf numFmtId="179" fontId="22" fillId="18" borderId="49" xfId="6" applyNumberFormat="1" applyFont="1" applyFill="1" applyBorder="1" applyAlignment="1" applyProtection="1"/>
  </cellXfs>
  <cellStyles count="71">
    <cellStyle name="Comma 2" xfId="13"/>
    <cellStyle name="Cost Table Plain" xfId="27"/>
    <cellStyle name="Cost_Green 2" xfId="55"/>
    <cellStyle name="Cost_Red 2" xfId="62"/>
    <cellStyle name="Cost_Yellow 3" xfId="59"/>
    <cellStyle name="Cost_Yellow 4" xfId="60"/>
    <cellStyle name="Currency 2" xfId="18"/>
    <cellStyle name="Lien hypertexte 2" xfId="14"/>
    <cellStyle name="Lien hypertexte 2 2" xfId="36"/>
    <cellStyle name="Lien hypertexte 2 2 2" xfId="54"/>
    <cellStyle name="Lien hypertexte 2 3" xfId="38"/>
    <cellStyle name="Lien hypertexte 3" xfId="33"/>
    <cellStyle name="Milliers 2 2" xfId="29"/>
    <cellStyle name="Milliers 2 2 3" xfId="50"/>
    <cellStyle name="Milliers 2 2 4" xfId="43"/>
    <cellStyle name="Milliers 2 3" xfId="2"/>
    <cellStyle name="Milliers 3" xfId="25"/>
    <cellStyle name="Milliers 3 4" xfId="31"/>
    <cellStyle name="Milliers 4" xfId="69"/>
    <cellStyle name="Monétaire 10" xfId="1"/>
    <cellStyle name="Monétaire 10 2" xfId="57"/>
    <cellStyle name="Monétaire 2" xfId="7"/>
    <cellStyle name="Monétaire 2 3" xfId="5"/>
    <cellStyle name="Monétaire 2 3 6" xfId="48"/>
    <cellStyle name="Monétaire 3" xfId="16"/>
    <cellStyle name="Monétaire 35" xfId="10"/>
    <cellStyle name="Monétaire 4" xfId="22"/>
    <cellStyle name="Monétaire 4 2" xfId="61"/>
    <cellStyle name="Monétaire 4 3" xfId="26"/>
    <cellStyle name="Neutre" xfId="23" builtinId="28"/>
    <cellStyle name="Neutre 2" xfId="47"/>
    <cellStyle name="Normal" xfId="0" builtinId="0"/>
    <cellStyle name="Normal 10" xfId="21"/>
    <cellStyle name="Normal 11" xfId="42"/>
    <cellStyle name="Normal 12" xfId="40"/>
    <cellStyle name="Normal 13" xfId="52"/>
    <cellStyle name="Normal 2" xfId="12"/>
    <cellStyle name="Normal 2 2" xfId="19"/>
    <cellStyle name="Normal 2 2 4 2 2" xfId="45"/>
    <cellStyle name="Normal 2 2 4 2 3" xfId="28"/>
    <cellStyle name="Normal 2 2 4 3 2" xfId="32"/>
    <cellStyle name="Normal 2 2 4 4" xfId="3"/>
    <cellStyle name="Normal 2 2 4 4 4 2" xfId="41"/>
    <cellStyle name="Normal 2 3" xfId="20"/>
    <cellStyle name="Normal 2 5" xfId="63"/>
    <cellStyle name="Normal 3" xfId="11"/>
    <cellStyle name="Normal 3 2 2" xfId="67"/>
    <cellStyle name="Normal 3 4" xfId="58"/>
    <cellStyle name="Normal 3 6" xfId="64"/>
    <cellStyle name="Normal 4" xfId="15"/>
    <cellStyle name="Normal 4 2" xfId="30"/>
    <cellStyle name="Normal 4 2 2" xfId="37"/>
    <cellStyle name="Normal 4 2 2 2" xfId="39"/>
    <cellStyle name="Normal 4 2 3" xfId="53"/>
    <cellStyle name="Normal 4 3" xfId="34"/>
    <cellStyle name="Normal 4 4" xfId="56"/>
    <cellStyle name="Normal 5 2" xfId="44"/>
    <cellStyle name="Normal 5 3" xfId="65"/>
    <cellStyle name="Normal 5 4" xfId="66"/>
    <cellStyle name="Normal 6" xfId="8"/>
    <cellStyle name="Normal 7 2" xfId="46"/>
    <cellStyle name="Normal 7 3" xfId="68"/>
    <cellStyle name="Normal 7 4" xfId="70"/>
    <cellStyle name="Normal 8 2" xfId="49"/>
    <cellStyle name="Normal 9 2" xfId="51"/>
    <cellStyle name="Normal_Sheet1" xfId="4"/>
    <cellStyle name="Style 1" xfId="9"/>
    <cellStyle name="Style 1 2" xfId="17"/>
    <cellStyle name="Style 1 3" xfId="24"/>
    <cellStyle name="TableStyleLight1" xfId="6"/>
    <cellStyle name="TableStyleLight1 2" xfId="35"/>
  </cellStyles>
  <dxfs count="0"/>
  <tableStyles count="0" defaultTableStyle="TableStyleMedium2" defaultPivotStyle="PivotStyleLight16"/>
  <colors>
    <mruColors>
      <color rgb="FFFF9999"/>
      <color rgb="FFFFFFCC"/>
      <color rgb="FF33CCFF"/>
      <color rgb="FF000000"/>
      <color rgb="FFF79646"/>
      <color rgb="FF76933C"/>
      <color rgb="FF974706"/>
      <color rgb="FFFF66CC"/>
      <color rgb="FF8DB4E2"/>
      <color rgb="FFB1A0C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38" Type="http://schemas.openxmlformats.org/officeDocument/2006/relationships/worksheet" Target="worksheets/sheet138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144" Type="http://schemas.openxmlformats.org/officeDocument/2006/relationships/externalLink" Target="externalLinks/externalLink5.xml"/><Relationship Id="rId149" Type="http://schemas.openxmlformats.org/officeDocument/2006/relationships/calcChain" Target="calcChain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16" Type="http://schemas.openxmlformats.org/officeDocument/2006/relationships/worksheet" Target="worksheets/sheet116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40" Type="http://schemas.openxmlformats.org/officeDocument/2006/relationships/externalLink" Target="externalLinks/externalLink1.xml"/><Relationship Id="rId145" Type="http://schemas.openxmlformats.org/officeDocument/2006/relationships/externalLink" Target="externalLinks/externalLink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43" Type="http://schemas.openxmlformats.org/officeDocument/2006/relationships/externalLink" Target="externalLinks/externalLink4.xml"/><Relationship Id="rId14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externalLink" Target="externalLinks/externalLink2.xml"/><Relationship Id="rId146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externalLink" Target="externalLinks/externalLink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395007</xdr:colOff>
      <xdr:row>28</xdr:row>
      <xdr:rowOff>126066</xdr:rowOff>
    </xdr:from>
    <xdr:ext cx="3230844" cy="417180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3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18567" y="5246706"/>
          <a:ext cx="3230844" cy="4171800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7884607" cy="558546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4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8122904" cy="575310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4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22904" cy="5753100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7827097" cy="554736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4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45720</xdr:colOff>
      <xdr:row>1</xdr:row>
      <xdr:rowOff>106680</xdr:rowOff>
    </xdr:from>
    <xdr:ext cx="8251737" cy="583692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74440</xdr:colOff>
      <xdr:row>28</xdr:row>
      <xdr:rowOff>1</xdr:rowOff>
    </xdr:from>
    <xdr:ext cx="3522465" cy="441007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8000" y="5120641"/>
          <a:ext cx="3522465" cy="441007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118907</xdr:colOff>
      <xdr:row>12</xdr:row>
      <xdr:rowOff>134787</xdr:rowOff>
    </xdr:from>
    <xdr:ext cx="3357765" cy="2316552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42467" y="2329347"/>
          <a:ext cx="3357765" cy="2316552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98844</xdr:colOff>
      <xdr:row>1</xdr:row>
      <xdr:rowOff>98844</xdr:rowOff>
    </xdr:from>
    <xdr:ext cx="8543835" cy="5571225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43835" cy="5571225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136366</xdr:colOff>
      <xdr:row>11</xdr:row>
      <xdr:rowOff>53675</xdr:rowOff>
    </xdr:from>
    <xdr:ext cx="2067935" cy="211802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00106" y="2065355"/>
          <a:ext cx="2067935" cy="2118024"/>
        </a:xfrm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41032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64698</xdr:colOff>
      <xdr:row>1</xdr:row>
      <xdr:rowOff>86265</xdr:rowOff>
    </xdr:from>
    <xdr:ext cx="8339542" cy="5887528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9145"/>
          <a:ext cx="8339542" cy="5887528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75408</xdr:colOff>
      <xdr:row>14</xdr:row>
      <xdr:rowOff>89298</xdr:rowOff>
    </xdr:from>
    <xdr:ext cx="3284251" cy="2307997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3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8968" y="2649618"/>
          <a:ext cx="3284251" cy="2307997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30480</xdr:colOff>
      <xdr:row>1</xdr:row>
      <xdr:rowOff>160020</xdr:rowOff>
    </xdr:from>
    <xdr:ext cx="7863927" cy="556260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516467</xdr:colOff>
      <xdr:row>12</xdr:row>
      <xdr:rowOff>93131</xdr:rowOff>
    </xdr:from>
    <xdr:ext cx="2286000" cy="76384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D01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7648787" y="2287691"/>
          <a:ext cx="2286000" cy="763840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5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73002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7897115" cy="560070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7374349" cy="521208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114301</xdr:colOff>
      <xdr:row>1</xdr:row>
      <xdr:rowOff>68581</xdr:rowOff>
    </xdr:from>
    <xdr:ext cx="7760010" cy="550164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198120</xdr:colOff>
      <xdr:row>1</xdr:row>
      <xdr:rowOff>99060</xdr:rowOff>
    </xdr:from>
    <xdr:ext cx="7147943" cy="505206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347634</xdr:colOff>
      <xdr:row>28</xdr:row>
      <xdr:rowOff>171203</xdr:rowOff>
    </xdr:from>
    <xdr:ext cx="2991848" cy="3799412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71194" y="5291843"/>
          <a:ext cx="2991848" cy="3799412"/>
        </a:xfrm>
        <a:prstGeom prst="rect">
          <a:avLst/>
        </a:prstGeom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80874</xdr:colOff>
      <xdr:row>14</xdr:row>
      <xdr:rowOff>92734</xdr:rowOff>
    </xdr:from>
    <xdr:ext cx="3395437" cy="2380172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04434" y="2653054"/>
          <a:ext cx="3395437" cy="2380172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98844</xdr:colOff>
      <xdr:row>1</xdr:row>
      <xdr:rowOff>80873</xdr:rowOff>
    </xdr:from>
    <xdr:ext cx="7964887" cy="523875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3753"/>
          <a:ext cx="7964887" cy="523875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47625</xdr:colOff>
      <xdr:row>1</xdr:row>
      <xdr:rowOff>76200</xdr:rowOff>
    </xdr:from>
    <xdr:ext cx="8688984" cy="569471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3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59080"/>
          <a:ext cx="8688984" cy="5694710"/>
        </a:xfrm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589470</xdr:colOff>
      <xdr:row>12</xdr:row>
      <xdr:rowOff>170279</xdr:rowOff>
    </xdr:from>
    <xdr:ext cx="2614801" cy="1957569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A01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7653210" y="2364839"/>
          <a:ext cx="2614801" cy="1957569"/>
        </a:xfrm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56158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7260607" cy="511834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6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260607" cy="5118340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327660</xdr:colOff>
      <xdr:row>1</xdr:row>
      <xdr:rowOff>152400</xdr:rowOff>
    </xdr:from>
    <xdr:ext cx="7476117" cy="528828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345441</xdr:colOff>
      <xdr:row>11</xdr:row>
      <xdr:rowOff>55881</xdr:rowOff>
    </xdr:from>
    <xdr:ext cx="1737359" cy="106475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09181" y="2067561"/>
          <a:ext cx="1737359" cy="1064754"/>
        </a:xfrm>
        <a:prstGeom prst="rect">
          <a:avLst/>
        </a:prstGeom>
      </xdr:spPr>
    </xdr:pic>
    <xdr:clientData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xmlns="" id="{00000000-0008-0000-7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8076679" cy="571500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91441</xdr:rowOff>
    </xdr:from>
    <xdr:ext cx="7635135" cy="537972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7678230" cy="543306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2</xdr:row>
      <xdr:rowOff>0</xdr:rowOff>
    </xdr:from>
    <xdr:ext cx="7676022" cy="544830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71157</xdr:colOff>
      <xdr:row>12</xdr:row>
      <xdr:rowOff>156883</xdr:rowOff>
    </xdr:from>
    <xdr:ext cx="2911849" cy="1654567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4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19757" y="2351443"/>
          <a:ext cx="2911849" cy="1654567"/>
        </a:xfrm>
        <a:prstGeom prst="rect">
          <a:avLst/>
        </a:prstGeom>
      </xdr:spPr>
    </xdr:pic>
    <xdr:clientData/>
  </xdr:one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395198</xdr:colOff>
      <xdr:row>28</xdr:row>
      <xdr:rowOff>182336</xdr:rowOff>
    </xdr:from>
    <xdr:ext cx="3029039" cy="3882431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18758" y="5302976"/>
          <a:ext cx="3029039" cy="3882431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109629</xdr:colOff>
      <xdr:row>13</xdr:row>
      <xdr:rowOff>106033</xdr:rowOff>
    </xdr:from>
    <xdr:ext cx="3400244" cy="2389785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33189" y="2483473"/>
          <a:ext cx="3400244" cy="2389785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104236</xdr:colOff>
      <xdr:row>1</xdr:row>
      <xdr:rowOff>50321</xdr:rowOff>
    </xdr:from>
    <xdr:ext cx="8342266" cy="548316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3201"/>
          <a:ext cx="8342266" cy="5483164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143775</xdr:colOff>
      <xdr:row>12</xdr:row>
      <xdr:rowOff>56342</xdr:rowOff>
    </xdr:from>
    <xdr:ext cx="3215135" cy="1891969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7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07515" y="2250902"/>
          <a:ext cx="3215135" cy="1891969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xmlns="" id="{00000000-0008-0000-8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8206013" cy="5808453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8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206013" cy="5808453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7476117" cy="528828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8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311574</xdr:colOff>
      <xdr:row>11</xdr:row>
      <xdr:rowOff>38948</xdr:rowOff>
    </xdr:from>
    <xdr:ext cx="1958226" cy="993986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8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75314" y="2050628"/>
          <a:ext cx="1958226" cy="993986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8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32795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76200</xdr:rowOff>
    </xdr:from>
    <xdr:ext cx="7800415" cy="553212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8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xmlns="" id="{00000000-0008-0000-4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129540</xdr:colOff>
      <xdr:row>1</xdr:row>
      <xdr:rowOff>91440</xdr:rowOff>
    </xdr:from>
    <xdr:ext cx="7617683" cy="537972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8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one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205740</xdr:colOff>
      <xdr:row>1</xdr:row>
      <xdr:rowOff>83820</xdr:rowOff>
    </xdr:from>
    <xdr:ext cx="7434255" cy="525018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8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7741579" cy="546354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9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one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320041</xdr:colOff>
      <xdr:row>2</xdr:row>
      <xdr:rowOff>38100</xdr:rowOff>
    </xdr:from>
    <xdr:ext cx="6195060" cy="428079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xmlns="" id="{00000000-0008-0000-9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487680</xdr:colOff>
      <xdr:row>13</xdr:row>
      <xdr:rowOff>137161</xdr:rowOff>
    </xdr:from>
    <xdr:ext cx="1320165" cy="1268161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9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000" y="2514601"/>
          <a:ext cx="1320165" cy="1268161"/>
        </a:xfrm>
        <a:prstGeom prst="rect">
          <a:avLst/>
        </a:prstGeom>
      </xdr:spPr>
    </xdr:pic>
    <xdr:clientData/>
  </xdr:one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533400</xdr:colOff>
      <xdr:row>13</xdr:row>
      <xdr:rowOff>33865</xdr:rowOff>
    </xdr:from>
    <xdr:ext cx="1977572" cy="1434736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9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65720" y="2411305"/>
          <a:ext cx="1977572" cy="1434736"/>
        </a:xfrm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393517</xdr:colOff>
      <xdr:row>11</xdr:row>
      <xdr:rowOff>90839</xdr:rowOff>
    </xdr:from>
    <xdr:ext cx="1685660" cy="109407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9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7821630" y="1806726"/>
          <a:ext cx="1094074" cy="1685660"/>
        </a:xfrm>
        <a:prstGeom prst="rect">
          <a:avLst/>
        </a:prstGeom>
      </xdr:spPr>
    </xdr:pic>
    <xdr:clientData/>
  </xdr:one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62016</xdr:rowOff>
    </xdr:from>
    <xdr:ext cx="5094463" cy="3675471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9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333971</xdr:colOff>
      <xdr:row>12</xdr:row>
      <xdr:rowOff>1310</xdr:rowOff>
    </xdr:from>
    <xdr:ext cx="1845142" cy="128320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9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7747260" y="1914901"/>
          <a:ext cx="1283204" cy="1845142"/>
        </a:xfrm>
        <a:prstGeom prst="rect">
          <a:avLst/>
        </a:prstGeom>
      </xdr:spPr>
    </xdr:pic>
    <xdr:clientData/>
  </xdr:one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320041</xdr:colOff>
      <xdr:row>2</xdr:row>
      <xdr:rowOff>38100</xdr:rowOff>
    </xdr:from>
    <xdr:ext cx="6195060" cy="428079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xmlns="" id="{00000000-0008-0000-9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8534610" cy="600456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4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573405</xdr:colOff>
      <xdr:row>12</xdr:row>
      <xdr:rowOff>99061</xdr:rowOff>
    </xdr:from>
    <xdr:ext cx="1569720" cy="1507886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9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05725" y="2293621"/>
          <a:ext cx="1569720" cy="1507886"/>
        </a:xfrm>
        <a:prstGeom prst="rect">
          <a:avLst/>
        </a:prstGeom>
      </xdr:spPr>
    </xdr:pic>
    <xdr:clientData/>
  </xdr:one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129698</xdr:colOff>
      <xdr:row>12</xdr:row>
      <xdr:rowOff>51621</xdr:rowOff>
    </xdr:from>
    <xdr:ext cx="2001521" cy="1214495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9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7655531" y="1852668"/>
          <a:ext cx="1214495" cy="2001521"/>
        </a:xfrm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38100</xdr:colOff>
      <xdr:row>1</xdr:row>
      <xdr:rowOff>53340</xdr:rowOff>
    </xdr:from>
    <xdr:ext cx="7410257" cy="524256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one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364464</xdr:colOff>
      <xdr:row>11</xdr:row>
      <xdr:rowOff>100355</xdr:rowOff>
    </xdr:from>
    <xdr:ext cx="1910649" cy="1456078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24070" y="1884749"/>
          <a:ext cx="1456078" cy="1910649"/>
        </a:xfrm>
        <a:prstGeom prst="rect">
          <a:avLst/>
        </a:prstGeom>
      </xdr:spPr>
    </xdr:pic>
    <xdr:clientData/>
  </xdr:one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7032095" cy="497586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548640</xdr:colOff>
      <xdr:row>11</xdr:row>
      <xdr:rowOff>82049</xdr:rowOff>
    </xdr:from>
    <xdr:ext cx="1402080" cy="123684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80960" y="2093729"/>
          <a:ext cx="1402080" cy="1236844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7573069" cy="535686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one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420946</xdr:colOff>
      <xdr:row>12</xdr:row>
      <xdr:rowOff>27259</xdr:rowOff>
    </xdr:from>
    <xdr:ext cx="2672839" cy="1877742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6442055" y="1824270"/>
          <a:ext cx="1877742" cy="2672839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228601</xdr:colOff>
      <xdr:row>1</xdr:row>
      <xdr:rowOff>83820</xdr:rowOff>
    </xdr:from>
    <xdr:ext cx="7959020" cy="518922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1" y="266700"/>
          <a:ext cx="7959020" cy="5189220"/>
        </a:xfrm>
        <a:prstGeom prst="rect">
          <a:avLst/>
        </a:prstGeom>
      </xdr:spPr>
    </xdr:pic>
    <xdr:clientData/>
  </xdr:oneCellAnchor>
</xdr:wsDr>
</file>

<file path=xl/drawings/drawing69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347132</xdr:colOff>
      <xdr:row>11</xdr:row>
      <xdr:rowOff>131234</xdr:rowOff>
    </xdr:from>
    <xdr:ext cx="1329267" cy="2001502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70692" y="2142914"/>
          <a:ext cx="1329267" cy="2001502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114300</xdr:colOff>
      <xdr:row>1</xdr:row>
      <xdr:rowOff>38100</xdr:rowOff>
    </xdr:from>
    <xdr:ext cx="8154785" cy="576834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4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one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7762813" cy="4984377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60"/>
          <a:ext cx="7762813" cy="4984377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490328</xdr:colOff>
      <xdr:row>12</xdr:row>
      <xdr:rowOff>99391</xdr:rowOff>
    </xdr:from>
    <xdr:ext cx="1571078" cy="1951082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A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13888" y="2293951"/>
          <a:ext cx="1571078" cy="1951082"/>
        </a:xfrm>
        <a:prstGeom prst="rect">
          <a:avLst/>
        </a:prstGeom>
      </xdr:spPr>
    </xdr:pic>
    <xdr:clientData/>
  </xdr:one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7918089" cy="518922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918089" cy="5189220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304800</xdr:colOff>
      <xdr:row>11</xdr:row>
      <xdr:rowOff>76202</xdr:rowOff>
    </xdr:from>
    <xdr:ext cx="1463311" cy="1312332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28360" y="2087882"/>
          <a:ext cx="1463311" cy="1312332"/>
        </a:xfrm>
        <a:prstGeom prst="rect">
          <a:avLst/>
        </a:prstGeom>
      </xdr:spPr>
    </xdr:pic>
    <xdr:clientData/>
  </xdr:one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180885</xdr:colOff>
      <xdr:row>1</xdr:row>
      <xdr:rowOff>105045</xdr:rowOff>
    </xdr:from>
    <xdr:ext cx="6770910" cy="578358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74550" y="-205740"/>
          <a:ext cx="5783580" cy="6770910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603249</xdr:colOff>
      <xdr:row>12</xdr:row>
      <xdr:rowOff>31750</xdr:rowOff>
    </xdr:from>
    <xdr:ext cx="918523" cy="117460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6809" y="2226310"/>
          <a:ext cx="918523" cy="1174600"/>
        </a:xfrm>
        <a:prstGeom prst="rect">
          <a:avLst/>
        </a:prstGeom>
      </xdr:spPr>
    </xdr:pic>
    <xdr:clientData/>
  </xdr:one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152399</xdr:colOff>
      <xdr:row>1</xdr:row>
      <xdr:rowOff>96997</xdr:rowOff>
    </xdr:from>
    <xdr:ext cx="7620000" cy="6371455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6671" y="-344395"/>
          <a:ext cx="6371455" cy="7620000"/>
        </a:xfrm>
        <a:prstGeom prst="rect">
          <a:avLst/>
        </a:prstGeom>
      </xdr:spPr>
    </xdr:pic>
    <xdr:clientData/>
  </xdr:oneCellAnchor>
</xdr:wsDr>
</file>

<file path=xl/drawings/drawing7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525308</xdr:colOff>
      <xdr:row>14</xdr:row>
      <xdr:rowOff>276713</xdr:rowOff>
    </xdr:from>
    <xdr:ext cx="2621751" cy="372279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8868" y="2745593"/>
          <a:ext cx="2621751" cy="3722794"/>
        </a:xfrm>
        <a:prstGeom prst="rect">
          <a:avLst/>
        </a:prstGeom>
      </xdr:spPr>
    </xdr:pic>
    <xdr:clientData/>
  </xdr:one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78442</xdr:colOff>
      <xdr:row>1</xdr:row>
      <xdr:rowOff>95673</xdr:rowOff>
    </xdr:from>
    <xdr:ext cx="7837840" cy="5050068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42" y="278553"/>
          <a:ext cx="7837840" cy="5050068"/>
        </a:xfrm>
        <a:prstGeom prst="rect">
          <a:avLst/>
        </a:prstGeom>
      </xdr:spPr>
    </xdr:pic>
    <xdr:clientData/>
  </xdr:oneCellAnchor>
</xdr:wsDr>
</file>

<file path=xl/drawings/drawing79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44727</xdr:colOff>
      <xdr:row>12</xdr:row>
      <xdr:rowOff>182216</xdr:rowOff>
    </xdr:from>
    <xdr:ext cx="1685397" cy="2001742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93127" y="2376776"/>
          <a:ext cx="1685397" cy="2001742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696686</xdr:colOff>
      <xdr:row>13</xdr:row>
      <xdr:rowOff>10886</xdr:rowOff>
    </xdr:from>
    <xdr:ext cx="1680482" cy="564696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4801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7829006" y="2388326"/>
          <a:ext cx="1680482" cy="564696"/>
        </a:xfrm>
        <a:prstGeom prst="rect">
          <a:avLst/>
        </a:prstGeom>
      </xdr:spPr>
    </xdr:pic>
    <xdr:clientData/>
  </xdr:one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85351</xdr:colOff>
      <xdr:row>1</xdr:row>
      <xdr:rowOff>172487</xdr:rowOff>
    </xdr:from>
    <xdr:ext cx="7020592" cy="456715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51" y="355367"/>
          <a:ext cx="7020592" cy="4567154"/>
        </a:xfrm>
        <a:prstGeom prst="rect">
          <a:avLst/>
        </a:prstGeom>
      </xdr:spPr>
    </xdr:pic>
    <xdr:clientData/>
  </xdr:oneCellAnchor>
</xdr:wsDr>
</file>

<file path=xl/drawings/drawing8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482545</xdr:colOff>
      <xdr:row>12</xdr:row>
      <xdr:rowOff>66578</xdr:rowOff>
    </xdr:from>
    <xdr:ext cx="1625757" cy="1590771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06105" y="2261138"/>
          <a:ext cx="1625757" cy="1590771"/>
        </a:xfrm>
        <a:prstGeom prst="rect">
          <a:avLst/>
        </a:prstGeom>
      </xdr:spPr>
    </xdr:pic>
    <xdr:clientData/>
  </xdr:one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403863</xdr:colOff>
      <xdr:row>1</xdr:row>
      <xdr:rowOff>174148</xdr:rowOff>
    </xdr:from>
    <xdr:ext cx="7647416" cy="5807555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23793" y="-562902"/>
          <a:ext cx="5807555" cy="7647416"/>
        </a:xfrm>
        <a:prstGeom prst="rect">
          <a:avLst/>
        </a:prstGeom>
      </xdr:spPr>
    </xdr:pic>
    <xdr:clientData/>
  </xdr:one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148270</xdr:colOff>
      <xdr:row>11</xdr:row>
      <xdr:rowOff>105634</xdr:rowOff>
    </xdr:from>
    <xdr:ext cx="808464" cy="1328947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96670" y="2117314"/>
          <a:ext cx="808464" cy="1328947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86840</xdr:colOff>
      <xdr:row>1</xdr:row>
      <xdr:rowOff>134144</xdr:rowOff>
    </xdr:from>
    <xdr:ext cx="8040054" cy="6121879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B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45927" y="-642063"/>
          <a:ext cx="6121879" cy="8040054"/>
        </a:xfrm>
        <a:prstGeom prst="rect">
          <a:avLst/>
        </a:prstGeom>
      </xdr:spPr>
    </xdr:pic>
    <xdr:clientData/>
  </xdr:oneCellAnchor>
</xdr:wsDr>
</file>

<file path=xl/drawings/drawing8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587828</xdr:colOff>
      <xdr:row>11</xdr:row>
      <xdr:rowOff>97970</xdr:rowOff>
    </xdr:from>
    <xdr:ext cx="1110344" cy="1163007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C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20148" y="2109650"/>
          <a:ext cx="1110344" cy="1163007"/>
        </a:xfrm>
        <a:prstGeom prst="rect">
          <a:avLst/>
        </a:prstGeom>
      </xdr:spPr>
    </xdr:pic>
    <xdr:clientData/>
  </xdr:one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732608</xdr:colOff>
      <xdr:row>11</xdr:row>
      <xdr:rowOff>136070</xdr:rowOff>
    </xdr:from>
    <xdr:ext cx="1164772" cy="121106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C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64928" y="2147750"/>
          <a:ext cx="1164772" cy="1211064"/>
        </a:xfrm>
        <a:prstGeom prst="rect">
          <a:avLst/>
        </a:prstGeom>
      </xdr:spPr>
    </xdr:pic>
    <xdr:clientData/>
  </xdr:oneCellAnchor>
</xdr:wsDr>
</file>

<file path=xl/drawings/drawing8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224245</xdr:colOff>
      <xdr:row>11</xdr:row>
      <xdr:rowOff>143692</xdr:rowOff>
    </xdr:from>
    <xdr:ext cx="2158440" cy="1500051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C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56565" y="2155372"/>
          <a:ext cx="2158440" cy="1500051"/>
        </a:xfrm>
        <a:prstGeom prst="rect">
          <a:avLst/>
        </a:prstGeom>
      </xdr:spPr>
    </xdr:pic>
    <xdr:clientData/>
  </xdr:one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121920</xdr:colOff>
      <xdr:row>1</xdr:row>
      <xdr:rowOff>99061</xdr:rowOff>
    </xdr:from>
    <xdr:ext cx="7755103" cy="5463539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C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0" y="281941"/>
          <a:ext cx="7755103" cy="5463539"/>
        </a:xfrm>
        <a:prstGeom prst="rect">
          <a:avLst/>
        </a:prstGeom>
      </xdr:spPr>
    </xdr:pic>
    <xdr:clientData/>
  </xdr:one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304800</xdr:colOff>
      <xdr:row>11</xdr:row>
      <xdr:rowOff>87085</xdr:rowOff>
    </xdr:from>
    <xdr:ext cx="1001486" cy="1048987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C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0" y="2098765"/>
          <a:ext cx="1001486" cy="1048987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4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175260</xdr:colOff>
      <xdr:row>1</xdr:row>
      <xdr:rowOff>45720</xdr:rowOff>
    </xdr:from>
    <xdr:ext cx="7594614" cy="5372100"/>
    <xdr:pic>
      <xdr:nvPicPr>
        <xdr:cNvPr id="2" name="Image 1">
          <a:extLst>
            <a:ext uri="{FF2B5EF4-FFF2-40B4-BE49-F238E27FC236}">
              <a16:creationId xmlns:a16="http://schemas.microsoft.com/office/drawing/2014/main" xmlns="" id="{00000000-0008-0000-C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228600"/>
          <a:ext cx="7594614" cy="5372100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Maquette_EPSA/ST%20-%20Steering%20System/Cost/template_cost_steering_lecture_seule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Lo&#239;c/Dropbox/EPSA/Cost/Cost_annees_precedentes/Cost-Atomix-v2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Rapha&#235;l/Desktop/ECL/2A/EPSA/Cost_Report_Vulcanix/template_cost_engine_lecture_seule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Maquette_EPSA/Cost%20Report/Cost%20final/FSAE_Cost_eBOM_Template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rthur/Documents/Cours%20ECL/EPSA/Vulcanix-v1.0/SU%20-%20Suspension/Cost/SU_A1300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BOM"/>
      <sheetName val="ST Assembly"/>
      <sheetName val="ST Part 1"/>
      <sheetName val="ST Drawing Part 1"/>
    </sheetNames>
    <sheetDataSet>
      <sheetData sheetId="0"/>
      <sheetData sheetId="1"/>
      <sheetData sheetId="2">
        <row r="48">
          <cell r="I48">
            <v>5</v>
          </cell>
        </row>
      </sheetData>
      <sheetData sheetId="3"/>
      <sheetData sheetId="4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N Parts"/>
      <sheetName val="Cost Summary"/>
      <sheetName val="BOM"/>
      <sheetName val="BR Assemblies"/>
      <sheetName val="BR Parts"/>
      <sheetName val="EN Assemblies"/>
      <sheetName val="EN_Drawings"/>
      <sheetName val="FR Assemblies"/>
      <sheetName val="FR Parts"/>
      <sheetName val="FR_Drawings"/>
      <sheetName val="EL Assemblies"/>
      <sheetName val="EL Parts"/>
      <sheetName val="EL_Drawings"/>
      <sheetName val="MS Assemblies"/>
      <sheetName val="MS Parts"/>
      <sheetName val="MS_Drawings"/>
      <sheetName val="ST Assemblies"/>
      <sheetName val="ST Parts"/>
      <sheetName val="ST_Drawings"/>
      <sheetName val="SU Assemblies"/>
      <sheetName val="SU Parts"/>
      <sheetName val="SU_Drawings"/>
      <sheetName val="WT Assemblies"/>
      <sheetName val="WT Parts"/>
      <sheetName val="WT_Drawings"/>
      <sheetName val="Revision Log"/>
    </sheetNames>
    <sheetDataSet>
      <sheetData sheetId="0">
        <row r="541">
          <cell r="N541">
            <v>1</v>
          </cell>
        </row>
        <row r="572">
          <cell r="N572">
            <v>1</v>
          </cell>
        </row>
        <row r="594">
          <cell r="N594">
            <v>1</v>
          </cell>
        </row>
        <row r="616">
          <cell r="N616">
            <v>1</v>
          </cell>
        </row>
        <row r="637">
          <cell r="N637">
            <v>1</v>
          </cell>
        </row>
        <row r="658">
          <cell r="N658">
            <v>1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BOM"/>
      <sheetName val="EN Assembly"/>
      <sheetName val="EN Part 1"/>
      <sheetName val="EN Drawing Part 1"/>
    </sheetNames>
    <sheetDataSet>
      <sheetData sheetId="0"/>
      <sheetData sheetId="1"/>
      <sheetData sheetId="2">
        <row r="3">
          <cell r="B3" t="str">
            <v>Engine and Drivetrain</v>
          </cell>
        </row>
        <row r="5">
          <cell r="B5" t="str">
            <v>EN A0001</v>
          </cell>
        </row>
      </sheetData>
      <sheetData sheetId="3"/>
      <sheetData sheetId="4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st Summary"/>
      <sheetName val="BOM"/>
    </sheetNames>
    <sheetDataSet>
      <sheetData sheetId="0"/>
      <sheetData sheetId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OM"/>
      <sheetName val="SU A1300"/>
      <sheetName val="SU 13001"/>
      <sheetName val="dSU 13001"/>
      <sheetName val="SU 13002"/>
      <sheetName val="dSU 13002"/>
    </sheetNames>
    <sheetDataSet>
      <sheetData sheetId="0"/>
      <sheetData sheetId="1">
        <row r="3">
          <cell r="B3" t="str">
            <v>Suspension &amp; Shocks</v>
          </cell>
        </row>
      </sheetData>
      <sheetData sheetId="2"/>
      <sheetData sheetId="3"/>
      <sheetData sheetId="4"/>
      <sheetData sheetId="5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239"/>
  <sheetViews>
    <sheetView zoomScale="85" zoomScaleNormal="85" workbookViewId="0">
      <pane xSplit="3" ySplit="6" topLeftCell="D64" activePane="bottomRight" state="frozen"/>
      <selection activeCell="J15" sqref="J15"/>
      <selection pane="topRight" activeCell="J15" sqref="J15"/>
      <selection pane="bottomLeft" activeCell="J15" sqref="J15"/>
      <selection pane="bottomRight" activeCell="F68" sqref="F68"/>
    </sheetView>
  </sheetViews>
  <sheetFormatPr baseColWidth="10" defaultColWidth="9.140625" defaultRowHeight="12.75" x14ac:dyDescent="0.2"/>
  <cols>
    <col min="1" max="1" width="17.42578125" style="6" bestFit="1" customWidth="1"/>
    <col min="2" max="2" width="21.140625" style="13" customWidth="1"/>
    <col min="3" max="3" width="13.5703125" style="6" customWidth="1"/>
    <col min="4" max="4" width="10" style="6" bestFit="1" customWidth="1"/>
    <col min="5" max="5" width="23" style="6" customWidth="1"/>
    <col min="6" max="6" width="36" style="8" customWidth="1"/>
    <col min="7" max="7" width="13" style="6" customWidth="1"/>
    <col min="8" max="8" width="12.140625" style="6" customWidth="1"/>
    <col min="9" max="9" width="10.42578125" style="9" customWidth="1"/>
    <col min="10" max="10" width="12.7109375" style="9" customWidth="1"/>
    <col min="11" max="11" width="11.28515625" style="9" customWidth="1"/>
    <col min="12" max="13" width="10.42578125" style="9" customWidth="1"/>
    <col min="14" max="14" width="11.5703125" style="6" bestFit="1" customWidth="1"/>
    <col min="15" max="15" width="11.140625" style="13" customWidth="1"/>
    <col min="16" max="16384" width="9.140625" style="13"/>
  </cols>
  <sheetData>
    <row r="1" spans="1:15" ht="15" thickBot="1" x14ac:dyDescent="0.35">
      <c r="A1" s="4" t="s">
        <v>0</v>
      </c>
      <c r="B1" s="5" t="s">
        <v>1</v>
      </c>
      <c r="D1" s="7"/>
      <c r="M1" s="10" t="s">
        <v>47</v>
      </c>
      <c r="N1" s="11"/>
      <c r="O1" s="12" t="e">
        <f>Cout_total</f>
        <v>#REF!</v>
      </c>
    </row>
    <row r="2" spans="1:15" s="17" customFormat="1" ht="15" thickBot="1" x14ac:dyDescent="0.35">
      <c r="A2" s="14" t="s">
        <v>48</v>
      </c>
      <c r="B2" s="15" t="s">
        <v>49</v>
      </c>
      <c r="C2" s="16"/>
      <c r="F2" s="18"/>
    </row>
    <row r="3" spans="1:15" s="17" customFormat="1" ht="15.6" thickTop="1" thickBot="1" x14ac:dyDescent="0.35">
      <c r="A3" s="19" t="s">
        <v>50</v>
      </c>
      <c r="B3" s="20">
        <v>2018</v>
      </c>
      <c r="C3" s="16"/>
      <c r="F3" s="18"/>
    </row>
    <row r="4" spans="1:15" s="17" customFormat="1" ht="15.6" thickTop="1" thickBot="1" x14ac:dyDescent="0.35">
      <c r="A4" s="21" t="s">
        <v>3</v>
      </c>
      <c r="B4" s="22">
        <v>81</v>
      </c>
      <c r="C4" s="16"/>
      <c r="D4" s="7"/>
      <c r="F4" s="18"/>
    </row>
    <row r="5" spans="1:15" s="26" customFormat="1" ht="15" thickTop="1" x14ac:dyDescent="0.3">
      <c r="A5" s="23"/>
      <c r="B5" s="24"/>
      <c r="C5" s="25"/>
      <c r="F5" s="27"/>
    </row>
    <row r="6" spans="1:15" s="32" customFormat="1" ht="49.5" customHeight="1" x14ac:dyDescent="0.25">
      <c r="A6" s="28" t="s">
        <v>51</v>
      </c>
      <c r="B6" s="29" t="s">
        <v>52</v>
      </c>
      <c r="C6" s="29" t="s">
        <v>53</v>
      </c>
      <c r="D6" s="29" t="s">
        <v>54</v>
      </c>
      <c r="E6" s="29" t="s">
        <v>55</v>
      </c>
      <c r="F6" s="29" t="s">
        <v>56</v>
      </c>
      <c r="G6" s="29" t="s">
        <v>57</v>
      </c>
      <c r="H6" s="30" t="s">
        <v>58</v>
      </c>
      <c r="I6" s="29" t="s">
        <v>19</v>
      </c>
      <c r="J6" s="29" t="s">
        <v>59</v>
      </c>
      <c r="K6" s="29" t="s">
        <v>60</v>
      </c>
      <c r="L6" s="29" t="s">
        <v>61</v>
      </c>
      <c r="M6" s="29" t="s">
        <v>62</v>
      </c>
      <c r="N6" s="31" t="s">
        <v>63</v>
      </c>
      <c r="O6" s="29" t="s">
        <v>64</v>
      </c>
    </row>
    <row r="7" spans="1:15" ht="14.45" x14ac:dyDescent="0.3">
      <c r="A7" s="290">
        <v>214</v>
      </c>
      <c r="B7" s="289" t="s">
        <v>106</v>
      </c>
      <c r="C7" s="287" t="str">
        <f>SU_A0100</f>
        <v>SU A0100</v>
      </c>
      <c r="D7" s="287" t="s">
        <v>13</v>
      </c>
      <c r="E7" s="287"/>
      <c r="F7" s="297" t="str">
        <f>'SU A0100'!B4</f>
        <v>Upper Front A-arm</v>
      </c>
      <c r="G7" s="287"/>
      <c r="H7" s="286">
        <f t="shared" ref="H7:H38" si="0">SUM(J7:M7)</f>
        <v>38.579540947087935</v>
      </c>
      <c r="I7" s="296">
        <f>SU_A0100_q</f>
        <v>2</v>
      </c>
      <c r="J7" s="284">
        <f>SU_A0100_m</f>
        <v>20.759999999999998</v>
      </c>
      <c r="K7" s="284">
        <f>SU_A0100_p</f>
        <v>16.033700000000003</v>
      </c>
      <c r="L7" s="284">
        <f>SU_A0100_f</f>
        <v>0.45250761375459631</v>
      </c>
      <c r="M7" s="284">
        <f>SU_A0100_t</f>
        <v>1.3333333333333333</v>
      </c>
      <c r="N7" s="283">
        <f t="shared" ref="N7:N38" si="1">H7*I7</f>
        <v>77.15908189417587</v>
      </c>
      <c r="O7" s="282">
        <v>340</v>
      </c>
    </row>
    <row r="8" spans="1:15" ht="14.45" x14ac:dyDescent="0.3">
      <c r="A8" s="279">
        <v>215</v>
      </c>
      <c r="B8" s="279" t="s">
        <v>106</v>
      </c>
      <c r="C8" s="1178" t="str">
        <f>SU_01001</f>
        <v>SU_01001</v>
      </c>
      <c r="D8" s="276" t="s">
        <v>13</v>
      </c>
      <c r="E8" s="276" t="str">
        <f t="shared" ref="E8:E18" si="2">$F$7</f>
        <v>Upper Front A-arm</v>
      </c>
      <c r="F8" s="281" t="str">
        <f>'SU 01001'!B5</f>
        <v>Upper Front Bearing Support</v>
      </c>
      <c r="G8" s="276"/>
      <c r="H8" s="275">
        <f t="shared" si="0"/>
        <v>15.090551905600002</v>
      </c>
      <c r="I8" s="274">
        <f>SU_A0100_q*SU_01001_q</f>
        <v>2</v>
      </c>
      <c r="J8" s="273">
        <f>SU_01001_m</f>
        <v>2.6965519055999998</v>
      </c>
      <c r="K8" s="273">
        <f>SU_01001_p</f>
        <v>12.394000000000002</v>
      </c>
      <c r="L8" s="273">
        <v>0</v>
      </c>
      <c r="M8" s="273">
        <v>0</v>
      </c>
      <c r="N8" s="272">
        <f t="shared" si="1"/>
        <v>30.181103811200003</v>
      </c>
      <c r="O8" s="271">
        <v>342</v>
      </c>
    </row>
    <row r="9" spans="1:15" ht="14.45" x14ac:dyDescent="0.3">
      <c r="A9" s="279">
        <v>216</v>
      </c>
      <c r="B9" s="279" t="s">
        <v>106</v>
      </c>
      <c r="C9" s="1178" t="str">
        <f>SU_01002</f>
        <v>SU_01002</v>
      </c>
      <c r="D9" s="276" t="s">
        <v>13</v>
      </c>
      <c r="E9" s="276" t="str">
        <f t="shared" si="2"/>
        <v>Upper Front A-arm</v>
      </c>
      <c r="F9" s="281" t="str">
        <f>'SU 01002'!B5</f>
        <v>Inner Bearing Support</v>
      </c>
      <c r="G9" s="276"/>
      <c r="H9" s="275">
        <f t="shared" si="0"/>
        <v>1.8728805440000003</v>
      </c>
      <c r="I9" s="274">
        <f>SU_A0100_q*SU_01002_q</f>
        <v>4</v>
      </c>
      <c r="J9" s="273">
        <f>SU_01002_m</f>
        <v>0.85838054400000008</v>
      </c>
      <c r="K9" s="273">
        <f>SU_01002_p</f>
        <v>1.0145000000000002</v>
      </c>
      <c r="L9" s="273">
        <v>0</v>
      </c>
      <c r="M9" s="273">
        <v>0</v>
      </c>
      <c r="N9" s="272">
        <f t="shared" si="1"/>
        <v>7.491522176000001</v>
      </c>
      <c r="O9" s="271">
        <v>344</v>
      </c>
    </row>
    <row r="10" spans="1:15" ht="14.45" x14ac:dyDescent="0.3">
      <c r="A10" s="279">
        <v>217</v>
      </c>
      <c r="B10" s="279" t="s">
        <v>106</v>
      </c>
      <c r="C10" s="1178" t="str">
        <f>SU_01003</f>
        <v>SU_01003</v>
      </c>
      <c r="D10" s="276" t="s">
        <v>13</v>
      </c>
      <c r="E10" s="276" t="str">
        <f t="shared" si="2"/>
        <v>Upper Front A-arm</v>
      </c>
      <c r="F10" s="281" t="str">
        <f>'SU 01003'!B5</f>
        <v>Upper Front A-arm tube (Front)  Carbon Fiber Tube</v>
      </c>
      <c r="G10" s="276"/>
      <c r="H10" s="275">
        <f t="shared" si="0"/>
        <v>8.8765790399999975</v>
      </c>
      <c r="I10" s="274">
        <f>SU_A0100_q*SU_01003_q</f>
        <v>2</v>
      </c>
      <c r="J10" s="273">
        <f>SU_01003_m</f>
        <v>7.8902924799999985</v>
      </c>
      <c r="K10" s="273">
        <f>SU_01003_p</f>
        <v>0.98628655999999981</v>
      </c>
      <c r="L10" s="273">
        <v>0</v>
      </c>
      <c r="M10" s="273">
        <v>0</v>
      </c>
      <c r="N10" s="272">
        <f t="shared" si="1"/>
        <v>17.753158079999995</v>
      </c>
      <c r="O10" s="271">
        <v>346</v>
      </c>
    </row>
    <row r="11" spans="1:15" ht="14.45" x14ac:dyDescent="0.3">
      <c r="A11" s="279">
        <v>218</v>
      </c>
      <c r="B11" s="279" t="s">
        <v>106</v>
      </c>
      <c r="C11" s="1178" t="str">
        <f>SU_01004</f>
        <v>SU_01004</v>
      </c>
      <c r="D11" s="276" t="s">
        <v>13</v>
      </c>
      <c r="E11" s="276" t="str">
        <f t="shared" si="2"/>
        <v>Upper Front A-arm</v>
      </c>
      <c r="F11" s="281" t="str">
        <f>'SU 01004'!B5</f>
        <v>Upper Front A-arm tube (Back)  Carbon Fiber Tube</v>
      </c>
      <c r="G11" s="276"/>
      <c r="H11" s="275">
        <f t="shared" si="0"/>
        <v>7.1887787999999988</v>
      </c>
      <c r="I11" s="274">
        <f>SU_A0100_q*SU_01004_q</f>
        <v>2</v>
      </c>
      <c r="J11" s="273">
        <f>SU_01004_m</f>
        <v>6.3900255999999986</v>
      </c>
      <c r="K11" s="273">
        <f>SU_01004_p</f>
        <v>0.79875319999999983</v>
      </c>
      <c r="L11" s="273">
        <v>0</v>
      </c>
      <c r="M11" s="273">
        <v>0</v>
      </c>
      <c r="N11" s="272">
        <f t="shared" si="1"/>
        <v>14.377557599999998</v>
      </c>
      <c r="O11" s="271">
        <v>347</v>
      </c>
    </row>
    <row r="12" spans="1:15" ht="14.45" x14ac:dyDescent="0.3">
      <c r="A12" s="279">
        <v>219</v>
      </c>
      <c r="B12" s="279" t="s">
        <v>106</v>
      </c>
      <c r="C12" s="1178" t="str">
        <f>SU_01005</f>
        <v>SU_01005</v>
      </c>
      <c r="D12" s="276" t="s">
        <v>13</v>
      </c>
      <c r="E12" s="276" t="str">
        <f t="shared" si="2"/>
        <v>Upper Front A-arm</v>
      </c>
      <c r="F12" s="281" t="str">
        <f>'SU 01005'!B5</f>
        <v>Spacer 1</v>
      </c>
      <c r="G12" s="276"/>
      <c r="H12" s="275">
        <f t="shared" si="0"/>
        <v>0.98904401600000003</v>
      </c>
      <c r="I12" s="274">
        <f>SU_A0100_q*SU_01005_q</f>
        <v>4</v>
      </c>
      <c r="J12" s="273">
        <f>SU_01005_m</f>
        <v>3.9044016000000001E-2</v>
      </c>
      <c r="K12" s="273">
        <f>SU_01005_p</f>
        <v>0.95000000000000007</v>
      </c>
      <c r="L12" s="273">
        <v>0</v>
      </c>
      <c r="M12" s="273">
        <v>0</v>
      </c>
      <c r="N12" s="272">
        <f t="shared" si="1"/>
        <v>3.9561760640000001</v>
      </c>
      <c r="O12" s="271">
        <v>348</v>
      </c>
    </row>
    <row r="13" spans="1:15" ht="14.45" x14ac:dyDescent="0.3">
      <c r="A13" s="279">
        <v>220</v>
      </c>
      <c r="B13" s="279" t="s">
        <v>106</v>
      </c>
      <c r="C13" s="1178" t="str">
        <f>SU_01006</f>
        <v>SU_01006</v>
      </c>
      <c r="D13" s="276" t="s">
        <v>13</v>
      </c>
      <c r="E13" s="276" t="str">
        <f t="shared" si="2"/>
        <v>Upper Front A-arm</v>
      </c>
      <c r="F13" s="281" t="str">
        <f>'SU 01006'!B5</f>
        <v>Spacer 2</v>
      </c>
      <c r="G13" s="276"/>
      <c r="H13" s="275">
        <f t="shared" si="0"/>
        <v>0.32421353411764708</v>
      </c>
      <c r="I13" s="274">
        <f>SU_A0100_q*SU_01006_q</f>
        <v>8</v>
      </c>
      <c r="J13" s="273">
        <f>SU_01006_m</f>
        <v>0.14197824000000003</v>
      </c>
      <c r="K13" s="273">
        <f>SU_01006_p</f>
        <v>0.18223529411764708</v>
      </c>
      <c r="L13" s="273">
        <v>0</v>
      </c>
      <c r="M13" s="273">
        <v>0</v>
      </c>
      <c r="N13" s="272">
        <f t="shared" si="1"/>
        <v>2.5937082729411767</v>
      </c>
      <c r="O13" s="271">
        <v>350</v>
      </c>
    </row>
    <row r="14" spans="1:15" ht="14.45" x14ac:dyDescent="0.3">
      <c r="A14" s="279">
        <v>221</v>
      </c>
      <c r="B14" s="279" t="s">
        <v>106</v>
      </c>
      <c r="C14" s="1178" t="str">
        <f>SU_01007</f>
        <v>SU_01007</v>
      </c>
      <c r="D14" s="276" t="s">
        <v>13</v>
      </c>
      <c r="E14" s="276" t="str">
        <f t="shared" si="2"/>
        <v>Upper Front A-arm</v>
      </c>
      <c r="F14" s="281" t="str">
        <f>'SU 01007'!$B$5</f>
        <v>Outboard A-arm Insert</v>
      </c>
      <c r="G14" s="276"/>
      <c r="H14" s="275">
        <f t="shared" si="0"/>
        <v>0.47719727680000001</v>
      </c>
      <c r="I14" s="274">
        <f>SU_A0100_q*SU_01007_q</f>
        <v>4</v>
      </c>
      <c r="J14" s="273">
        <f>SU_01007_m</f>
        <v>7.7197276800000006E-2</v>
      </c>
      <c r="K14" s="273">
        <f>SU_01007_p</f>
        <v>0.4</v>
      </c>
      <c r="L14" s="273">
        <v>0</v>
      </c>
      <c r="M14" s="273">
        <v>0</v>
      </c>
      <c r="N14" s="272">
        <f t="shared" si="1"/>
        <v>1.9087891072000001</v>
      </c>
      <c r="O14" s="271">
        <v>352</v>
      </c>
    </row>
    <row r="15" spans="1:15" ht="14.45" x14ac:dyDescent="0.3">
      <c r="A15" s="279">
        <v>222</v>
      </c>
      <c r="B15" s="279" t="s">
        <v>106</v>
      </c>
      <c r="C15" s="1178" t="str">
        <f>SU_01008</f>
        <v>SU_01008</v>
      </c>
      <c r="D15" s="276" t="s">
        <v>13</v>
      </c>
      <c r="E15" s="276" t="str">
        <f t="shared" si="2"/>
        <v>Upper Front A-arm</v>
      </c>
      <c r="F15" s="281" t="str">
        <f>'SU 01008'!$B$5</f>
        <v>Front up bracket</v>
      </c>
      <c r="G15" s="276"/>
      <c r="H15" s="275">
        <f t="shared" si="0"/>
        <v>1.3930602499999998</v>
      </c>
      <c r="I15" s="274">
        <f>SU_A0100_q*SU_01008_q</f>
        <v>2</v>
      </c>
      <c r="J15" s="273">
        <f>SU_01008_m</f>
        <v>0.14773825000000002</v>
      </c>
      <c r="K15" s="273">
        <f>SU_01008_p</f>
        <v>1.2453219999999998</v>
      </c>
      <c r="L15" s="273">
        <v>0</v>
      </c>
      <c r="M15" s="273">
        <v>0</v>
      </c>
      <c r="N15" s="272">
        <f t="shared" si="1"/>
        <v>2.7861204999999996</v>
      </c>
      <c r="O15" s="271">
        <v>355</v>
      </c>
    </row>
    <row r="16" spans="1:15" ht="14.45" x14ac:dyDescent="0.3">
      <c r="A16" s="279">
        <v>223</v>
      </c>
      <c r="B16" s="279" t="s">
        <v>106</v>
      </c>
      <c r="C16" s="1178" t="str">
        <f>SU_01009</f>
        <v>SU_01009</v>
      </c>
      <c r="D16" s="276" t="s">
        <v>13</v>
      </c>
      <c r="E16" s="276" t="str">
        <f t="shared" si="2"/>
        <v>Upper Front A-arm</v>
      </c>
      <c r="F16" s="281" t="str">
        <f>'SU 01009'!$B$5</f>
        <v>Front down bracket</v>
      </c>
      <c r="G16" s="276"/>
      <c r="H16" s="275">
        <f t="shared" si="0"/>
        <v>1.3590899374999998</v>
      </c>
      <c r="I16" s="274">
        <f>SU_A0100_q*SU_01009_q</f>
        <v>2</v>
      </c>
      <c r="J16" s="273">
        <f>SU_01009_m</f>
        <v>0.1450304375</v>
      </c>
      <c r="K16" s="273">
        <f>SU_01009_p</f>
        <v>1.2140594999999998</v>
      </c>
      <c r="L16" s="273">
        <v>0</v>
      </c>
      <c r="M16" s="273">
        <v>0</v>
      </c>
      <c r="N16" s="272">
        <f t="shared" si="1"/>
        <v>2.7181798749999997</v>
      </c>
      <c r="O16" s="271">
        <v>357</v>
      </c>
    </row>
    <row r="17" spans="1:15" ht="14.45" x14ac:dyDescent="0.3">
      <c r="A17" s="279">
        <v>224</v>
      </c>
      <c r="B17" s="279" t="s">
        <v>106</v>
      </c>
      <c r="C17" s="1178" t="str">
        <f>SU_01010</f>
        <v>SU_01010</v>
      </c>
      <c r="D17" s="276" t="s">
        <v>13</v>
      </c>
      <c r="E17" s="276" t="str">
        <f t="shared" si="2"/>
        <v>Upper Front A-arm</v>
      </c>
      <c r="F17" s="281" t="str">
        <f>'SU 01010'!$B$5</f>
        <v>Rear up bracket</v>
      </c>
      <c r="G17" s="276"/>
      <c r="H17" s="275">
        <f t="shared" si="0"/>
        <v>1.3143274375</v>
      </c>
      <c r="I17" s="274">
        <f>SU_A0100_q*SU_01010_q</f>
        <v>2</v>
      </c>
      <c r="J17" s="273">
        <f>SU_01010_m</f>
        <v>0.1233679375</v>
      </c>
      <c r="K17" s="273">
        <f>SU_01010_p</f>
        <v>1.1909594999999999</v>
      </c>
      <c r="L17" s="273">
        <v>0</v>
      </c>
      <c r="M17" s="273">
        <v>0</v>
      </c>
      <c r="N17" s="272">
        <f t="shared" si="1"/>
        <v>2.6286548750000001</v>
      </c>
      <c r="O17" s="271">
        <v>359</v>
      </c>
    </row>
    <row r="18" spans="1:15" ht="14.45" x14ac:dyDescent="0.3">
      <c r="A18" s="279">
        <v>225</v>
      </c>
      <c r="B18" s="279" t="s">
        <v>106</v>
      </c>
      <c r="C18" s="1178" t="str">
        <f>SU_01011</f>
        <v>SU_01011</v>
      </c>
      <c r="D18" s="276" t="s">
        <v>13</v>
      </c>
      <c r="E18" s="276" t="str">
        <f t="shared" si="2"/>
        <v>Upper Front A-arm</v>
      </c>
      <c r="F18" s="281" t="str">
        <f>'SU 01011'!$B$5</f>
        <v>Rear down bracket</v>
      </c>
      <c r="G18" s="276"/>
      <c r="H18" s="275">
        <f t="shared" si="0"/>
        <v>1.3278918750000002</v>
      </c>
      <c r="I18" s="274">
        <f>SU_A0100_q*SU_01011_q</f>
        <v>2</v>
      </c>
      <c r="J18" s="273">
        <f>SU_01011_m</f>
        <v>0.13755687500000002</v>
      </c>
      <c r="K18" s="273">
        <f>SU_01011_p</f>
        <v>1.1903350000000001</v>
      </c>
      <c r="L18" s="273">
        <v>0</v>
      </c>
      <c r="M18" s="273">
        <v>0</v>
      </c>
      <c r="N18" s="272">
        <f t="shared" si="1"/>
        <v>2.6557837500000003</v>
      </c>
      <c r="O18" s="271">
        <v>361</v>
      </c>
    </row>
    <row r="19" spans="1:15" ht="14.45" x14ac:dyDescent="0.3">
      <c r="A19" s="290">
        <v>226</v>
      </c>
      <c r="B19" s="289" t="s">
        <v>106</v>
      </c>
      <c r="C19" s="287" t="str">
        <f>SU_A0200</f>
        <v>SU A0200</v>
      </c>
      <c r="D19" s="287" t="s">
        <v>13</v>
      </c>
      <c r="E19" s="287"/>
      <c r="F19" s="297" t="str">
        <f>'SU A0200'!B4</f>
        <v>Lower Front A-arm</v>
      </c>
      <c r="G19" s="287"/>
      <c r="H19" s="286">
        <f t="shared" si="0"/>
        <v>38.579540947087935</v>
      </c>
      <c r="I19" s="296">
        <f>SU_A0200_q</f>
        <v>2</v>
      </c>
      <c r="J19" s="284">
        <f>SU_A0200_m</f>
        <v>20.759999999999998</v>
      </c>
      <c r="K19" s="284">
        <f>SU_A0200_p</f>
        <v>16.033700000000003</v>
      </c>
      <c r="L19" s="284">
        <f>SU_A0200_f</f>
        <v>0.45250761375459631</v>
      </c>
      <c r="M19" s="284">
        <f>SU_A0200_t</f>
        <v>1.3333333333333333</v>
      </c>
      <c r="N19" s="283">
        <f t="shared" si="1"/>
        <v>77.15908189417587</v>
      </c>
      <c r="O19" s="282">
        <v>363</v>
      </c>
    </row>
    <row r="20" spans="1:15" ht="14.45" x14ac:dyDescent="0.3">
      <c r="A20" s="279">
        <v>227</v>
      </c>
      <c r="B20" s="279" t="s">
        <v>106</v>
      </c>
      <c r="C20" s="1178" t="str">
        <f>SU_02001</f>
        <v>SU 02001</v>
      </c>
      <c r="D20" s="276" t="s">
        <v>13</v>
      </c>
      <c r="E20" s="276" t="str">
        <f t="shared" ref="E20:E30" si="3">$F$19</f>
        <v>Lower Front A-arm</v>
      </c>
      <c r="F20" s="281" t="str">
        <f>'SU 02001'!B5</f>
        <v>Lower Front Bearing Support</v>
      </c>
      <c r="G20" s="276"/>
      <c r="H20" s="275">
        <f t="shared" si="0"/>
        <v>9.1140000000000008</v>
      </c>
      <c r="I20" s="274">
        <f>SU_A0200_q*SU_02001_q</f>
        <v>2</v>
      </c>
      <c r="J20" s="273">
        <f>SU_02001_m</f>
        <v>4.2</v>
      </c>
      <c r="K20" s="273">
        <f>SU_02001_p</f>
        <v>4.9140000000000006</v>
      </c>
      <c r="L20" s="273">
        <v>0</v>
      </c>
      <c r="M20" s="273">
        <v>0</v>
      </c>
      <c r="N20" s="272">
        <f t="shared" si="1"/>
        <v>18.228000000000002</v>
      </c>
      <c r="O20" s="271">
        <v>365</v>
      </c>
    </row>
    <row r="21" spans="1:15" ht="14.45" x14ac:dyDescent="0.3">
      <c r="A21" s="279">
        <v>228</v>
      </c>
      <c r="B21" s="279" t="s">
        <v>106</v>
      </c>
      <c r="C21" s="1178" t="str">
        <f>SU_02002</f>
        <v>SU 02002</v>
      </c>
      <c r="D21" s="276" t="s">
        <v>13</v>
      </c>
      <c r="E21" s="276" t="str">
        <f t="shared" si="3"/>
        <v>Lower Front A-arm</v>
      </c>
      <c r="F21" s="281" t="str">
        <f>'SU 02002'!B5</f>
        <v>Inner Bearing Support</v>
      </c>
      <c r="G21" s="276"/>
      <c r="H21" s="275">
        <f t="shared" si="0"/>
        <v>1.8728805440000003</v>
      </c>
      <c r="I21" s="274">
        <f>SU_A0200_q*SU_02002_q</f>
        <v>4</v>
      </c>
      <c r="J21" s="273">
        <f>SU_02002_m</f>
        <v>0.85838054400000008</v>
      </c>
      <c r="K21" s="273">
        <f>SU_02002_p</f>
        <v>1.0145000000000002</v>
      </c>
      <c r="L21" s="273">
        <v>0</v>
      </c>
      <c r="M21" s="273">
        <v>0</v>
      </c>
      <c r="N21" s="272">
        <f t="shared" si="1"/>
        <v>7.491522176000001</v>
      </c>
      <c r="O21" s="271">
        <v>367</v>
      </c>
    </row>
    <row r="22" spans="1:15" ht="14.45" x14ac:dyDescent="0.3">
      <c r="A22" s="279">
        <v>229</v>
      </c>
      <c r="B22" s="279" t="s">
        <v>106</v>
      </c>
      <c r="C22" s="1178" t="str">
        <f>SU_02003</f>
        <v>SU_02003</v>
      </c>
      <c r="D22" s="276" t="s">
        <v>13</v>
      </c>
      <c r="E22" s="276" t="str">
        <f t="shared" si="3"/>
        <v>Lower Front A-arm</v>
      </c>
      <c r="F22" s="281" t="str">
        <f>'SU 02003'!B5</f>
        <v>Lower Front A-arm tube (Front)  Carbon Fiber Tube</v>
      </c>
      <c r="G22" s="276"/>
      <c r="H22" s="275">
        <f t="shared" si="0"/>
        <v>11.220746039999998</v>
      </c>
      <c r="I22" s="274">
        <f>SU_A0200_q*SU_02003_q</f>
        <v>2</v>
      </c>
      <c r="J22" s="273">
        <f>SU_02003_m</f>
        <v>9.9739964799999985</v>
      </c>
      <c r="K22" s="273">
        <f>SU_02003_p</f>
        <v>1.2467495599999998</v>
      </c>
      <c r="L22" s="273">
        <v>0</v>
      </c>
      <c r="M22" s="273">
        <v>0</v>
      </c>
      <c r="N22" s="272">
        <f t="shared" si="1"/>
        <v>22.441492079999996</v>
      </c>
      <c r="O22" s="271">
        <v>369</v>
      </c>
    </row>
    <row r="23" spans="1:15" ht="14.45" x14ac:dyDescent="0.3">
      <c r="A23" s="279">
        <v>230</v>
      </c>
      <c r="B23" s="279" t="s">
        <v>106</v>
      </c>
      <c r="C23" s="1178" t="str">
        <f>SU_02004</f>
        <v>SU_02004</v>
      </c>
      <c r="D23" s="276" t="s">
        <v>13</v>
      </c>
      <c r="E23" s="276" t="str">
        <f t="shared" si="3"/>
        <v>Lower Front A-arm</v>
      </c>
      <c r="F23" s="281" t="str">
        <f>'SU 02004'!B5</f>
        <v>Lower Front A-arm tube (Back)  Carbon Fiber Tube</v>
      </c>
      <c r="G23" s="276"/>
      <c r="H23" s="275">
        <f t="shared" si="0"/>
        <v>10.001779199999998</v>
      </c>
      <c r="I23" s="274">
        <f>SU_A0200_q*SU_02004_q</f>
        <v>2</v>
      </c>
      <c r="J23" s="273">
        <f>SU_02004_m</f>
        <v>8.8904703999999981</v>
      </c>
      <c r="K23" s="273">
        <f>SU_02004_p</f>
        <v>1.1113087999999998</v>
      </c>
      <c r="L23" s="273">
        <v>0</v>
      </c>
      <c r="M23" s="273">
        <v>0</v>
      </c>
      <c r="N23" s="272">
        <f t="shared" si="1"/>
        <v>20.003558399999996</v>
      </c>
      <c r="O23" s="271">
        <v>370</v>
      </c>
    </row>
    <row r="24" spans="1:15" ht="14.45" x14ac:dyDescent="0.3">
      <c r="A24" s="279">
        <v>231</v>
      </c>
      <c r="B24" s="279" t="s">
        <v>106</v>
      </c>
      <c r="C24" s="1178" t="str">
        <f>SU_02005</f>
        <v>SU_02005</v>
      </c>
      <c r="D24" s="276" t="s">
        <v>13</v>
      </c>
      <c r="E24" s="276" t="str">
        <f t="shared" si="3"/>
        <v>Lower Front A-arm</v>
      </c>
      <c r="F24" s="281" t="str">
        <f>'SU 02005'!B5</f>
        <v>Spacer 1</v>
      </c>
      <c r="G24" s="276"/>
      <c r="H24" s="275">
        <f t="shared" si="0"/>
        <v>0.90817037600000006</v>
      </c>
      <c r="I24" s="274">
        <f>SU_A0200_q*SU_02005_q</f>
        <v>4</v>
      </c>
      <c r="J24" s="273">
        <f>SU_02005_m</f>
        <v>3.0170376000000002E-2</v>
      </c>
      <c r="K24" s="273">
        <f>SU_02005_p</f>
        <v>0.878</v>
      </c>
      <c r="L24" s="273">
        <v>0</v>
      </c>
      <c r="M24" s="273">
        <v>0</v>
      </c>
      <c r="N24" s="272">
        <f t="shared" si="1"/>
        <v>3.6326815040000002</v>
      </c>
      <c r="O24" s="271">
        <v>371</v>
      </c>
    </row>
    <row r="25" spans="1:15" ht="14.45" x14ac:dyDescent="0.3">
      <c r="A25" s="279">
        <v>232</v>
      </c>
      <c r="B25" s="279" t="s">
        <v>106</v>
      </c>
      <c r="C25" s="1178" t="str">
        <f>SU_02006</f>
        <v>SU_02006</v>
      </c>
      <c r="D25" s="276" t="s">
        <v>13</v>
      </c>
      <c r="E25" s="276" t="str">
        <f t="shared" si="3"/>
        <v>Lower Front A-arm</v>
      </c>
      <c r="F25" s="281" t="str">
        <f>'SU 02006'!B5</f>
        <v>Spacer 2</v>
      </c>
      <c r="G25" s="276"/>
      <c r="H25" s="275">
        <f t="shared" si="0"/>
        <v>0.32421353411764708</v>
      </c>
      <c r="I25" s="274">
        <f>SU_A0200_q*SU_02006_q</f>
        <v>8</v>
      </c>
      <c r="J25" s="273">
        <f>SU_02006_m</f>
        <v>0.14197824000000003</v>
      </c>
      <c r="K25" s="273">
        <f>SU_02006_p</f>
        <v>0.18223529411764708</v>
      </c>
      <c r="L25" s="273">
        <v>0</v>
      </c>
      <c r="M25" s="273">
        <v>0</v>
      </c>
      <c r="N25" s="272">
        <f t="shared" si="1"/>
        <v>2.5937082729411767</v>
      </c>
      <c r="O25" s="271">
        <v>373</v>
      </c>
    </row>
    <row r="26" spans="1:15" ht="14.45" x14ac:dyDescent="0.3">
      <c r="A26" s="279">
        <v>233</v>
      </c>
      <c r="B26" s="279" t="s">
        <v>106</v>
      </c>
      <c r="C26" s="1178" t="str">
        <f>SU_02007</f>
        <v>SU_02007</v>
      </c>
      <c r="D26" s="276" t="s">
        <v>13</v>
      </c>
      <c r="E26" s="276" t="str">
        <f t="shared" si="3"/>
        <v>Lower Front A-arm</v>
      </c>
      <c r="F26" s="281" t="str">
        <f>'SU 02007'!B5</f>
        <v>Outboard A-arm Insert</v>
      </c>
      <c r="G26" s="276"/>
      <c r="H26" s="275">
        <f t="shared" si="0"/>
        <v>0.47719727680000001</v>
      </c>
      <c r="I26" s="274">
        <f>SU_A0200_q*SU_02007_q</f>
        <v>4</v>
      </c>
      <c r="J26" s="273">
        <f>SU_02007_m</f>
        <v>7.7197276800000006E-2</v>
      </c>
      <c r="K26" s="273">
        <f>SU_02007_p</f>
        <v>0.4</v>
      </c>
      <c r="L26" s="273">
        <v>0</v>
      </c>
      <c r="M26" s="273">
        <v>0</v>
      </c>
      <c r="N26" s="272">
        <f t="shared" si="1"/>
        <v>1.9087891072000001</v>
      </c>
      <c r="O26" s="271">
        <v>375</v>
      </c>
    </row>
    <row r="27" spans="1:15" ht="14.45" x14ac:dyDescent="0.3">
      <c r="A27" s="279">
        <v>234</v>
      </c>
      <c r="B27" s="279" t="s">
        <v>106</v>
      </c>
      <c r="C27" s="1178" t="str">
        <f>SU_02008</f>
        <v>SU_02008</v>
      </c>
      <c r="D27" s="276" t="s">
        <v>13</v>
      </c>
      <c r="E27" s="276" t="str">
        <f t="shared" si="3"/>
        <v>Lower Front A-arm</v>
      </c>
      <c r="F27" s="281" t="str">
        <f>'SU 02008'!B5</f>
        <v>Front up bracket</v>
      </c>
      <c r="G27" s="276"/>
      <c r="H27" s="275">
        <f t="shared" si="0"/>
        <v>1.3868720000000001</v>
      </c>
      <c r="I27" s="274">
        <f>SU_A0200_q*SU_02008_q</f>
        <v>2</v>
      </c>
      <c r="J27" s="273">
        <f>SU_02008_m</f>
        <v>0.12477600000000001</v>
      </c>
      <c r="K27" s="273">
        <f>SU_02008_p</f>
        <v>1.2620960000000001</v>
      </c>
      <c r="L27" s="273">
        <v>0</v>
      </c>
      <c r="M27" s="273">
        <v>0</v>
      </c>
      <c r="N27" s="272">
        <f t="shared" si="1"/>
        <v>2.7737440000000002</v>
      </c>
      <c r="O27" s="271">
        <v>377</v>
      </c>
    </row>
    <row r="28" spans="1:15" ht="14.45" x14ac:dyDescent="0.3">
      <c r="A28" s="279">
        <v>235</v>
      </c>
      <c r="B28" s="279" t="s">
        <v>106</v>
      </c>
      <c r="C28" s="1178" t="str">
        <f>SU_02009</f>
        <v>SU_02009</v>
      </c>
      <c r="D28" s="276" t="s">
        <v>13</v>
      </c>
      <c r="E28" s="276" t="str">
        <f t="shared" si="3"/>
        <v>Lower Front A-arm</v>
      </c>
      <c r="F28" s="281" t="str">
        <f>'SU 02009'!B5</f>
        <v>Front down bracket</v>
      </c>
      <c r="G28" s="276"/>
      <c r="H28" s="275">
        <f t="shared" si="0"/>
        <v>1.4357435000000001</v>
      </c>
      <c r="I28" s="274">
        <f>SU_A0200_q*SU_02009_q</f>
        <v>2</v>
      </c>
      <c r="J28" s="273">
        <f>SU_02009_m</f>
        <v>0.1620355</v>
      </c>
      <c r="K28" s="273">
        <f>SU_02009_p</f>
        <v>1.2737080000000001</v>
      </c>
      <c r="L28" s="273">
        <v>0</v>
      </c>
      <c r="M28" s="273">
        <v>0</v>
      </c>
      <c r="N28" s="272">
        <f t="shared" si="1"/>
        <v>2.8714870000000001</v>
      </c>
      <c r="O28" s="271">
        <v>379</v>
      </c>
    </row>
    <row r="29" spans="1:15" ht="14.45" x14ac:dyDescent="0.3">
      <c r="A29" s="279">
        <v>236</v>
      </c>
      <c r="B29" s="279" t="s">
        <v>106</v>
      </c>
      <c r="C29" s="1178" t="str">
        <f>SU_02010</f>
        <v>SU_02010</v>
      </c>
      <c r="D29" s="276" t="s">
        <v>13</v>
      </c>
      <c r="E29" s="276" t="str">
        <f t="shared" si="3"/>
        <v>Lower Front A-arm</v>
      </c>
      <c r="F29" s="281" t="str">
        <f>'SU 02010'!B5</f>
        <v>Rear Up bracket</v>
      </c>
      <c r="G29" s="276"/>
      <c r="H29" s="275">
        <f t="shared" si="0"/>
        <v>1.3315549999999998</v>
      </c>
      <c r="I29" s="274">
        <f>SU_A0200_q*SU_02010_q</f>
        <v>2</v>
      </c>
      <c r="J29" s="273">
        <f>SU_02010_m</f>
        <v>9.5315000000000011E-2</v>
      </c>
      <c r="K29" s="273">
        <f>SU_02010_p</f>
        <v>1.2362399999999998</v>
      </c>
      <c r="L29" s="273">
        <v>0</v>
      </c>
      <c r="M29" s="273">
        <v>0</v>
      </c>
      <c r="N29" s="272">
        <f t="shared" si="1"/>
        <v>2.6631099999999996</v>
      </c>
      <c r="O29" s="271">
        <v>381</v>
      </c>
    </row>
    <row r="30" spans="1:15" ht="14.45" x14ac:dyDescent="0.3">
      <c r="A30" s="279">
        <v>237</v>
      </c>
      <c r="B30" s="279" t="s">
        <v>106</v>
      </c>
      <c r="C30" s="1178" t="str">
        <f>SU_02011</f>
        <v>SU_02011</v>
      </c>
      <c r="D30" s="276" t="s">
        <v>13</v>
      </c>
      <c r="E30" s="276" t="str">
        <f t="shared" si="3"/>
        <v>Lower Front A-arm</v>
      </c>
      <c r="F30" s="281" t="str">
        <f>'SU 02011'!B5</f>
        <v>Rear down bracket</v>
      </c>
      <c r="G30" s="276"/>
      <c r="H30" s="275">
        <f t="shared" si="0"/>
        <v>1.41506025</v>
      </c>
      <c r="I30" s="274">
        <f>SU_A0200_q*SU_02011_q</f>
        <v>2</v>
      </c>
      <c r="J30" s="273">
        <f>SU_02011_m</f>
        <v>0.14773825000000002</v>
      </c>
      <c r="K30" s="273">
        <f>SU_02011_p</f>
        <v>1.2673220000000001</v>
      </c>
      <c r="L30" s="273">
        <v>0</v>
      </c>
      <c r="M30" s="273">
        <v>0</v>
      </c>
      <c r="N30" s="272">
        <f t="shared" si="1"/>
        <v>2.8301205</v>
      </c>
      <c r="O30" s="271">
        <v>383</v>
      </c>
    </row>
    <row r="31" spans="1:15" ht="14.45" x14ac:dyDescent="0.3">
      <c r="A31" s="290">
        <v>238</v>
      </c>
      <c r="B31" s="289" t="s">
        <v>106</v>
      </c>
      <c r="C31" s="287" t="str">
        <f>SU_A0300</f>
        <v>SU A0300</v>
      </c>
      <c r="D31" s="287" t="s">
        <v>13</v>
      </c>
      <c r="E31" s="287"/>
      <c r="F31" s="297" t="str">
        <f>'SU A0300'!B4</f>
        <v>Upper Back A-arm</v>
      </c>
      <c r="G31" s="287"/>
      <c r="H31" s="286">
        <f t="shared" si="0"/>
        <v>38.579540947087935</v>
      </c>
      <c r="I31" s="296">
        <f>SU_A0300_q</f>
        <v>2</v>
      </c>
      <c r="J31" s="284">
        <f>SU_A0300_m</f>
        <v>20.759999999999998</v>
      </c>
      <c r="K31" s="284">
        <f>SU_A0300_p</f>
        <v>16.033700000000003</v>
      </c>
      <c r="L31" s="284">
        <f>SU_A0300_f</f>
        <v>0.45250761375459631</v>
      </c>
      <c r="M31" s="284">
        <f>SU_A0300_t</f>
        <v>1.3333333333333333</v>
      </c>
      <c r="N31" s="283">
        <f t="shared" si="1"/>
        <v>77.15908189417587</v>
      </c>
      <c r="O31" s="282">
        <v>385</v>
      </c>
    </row>
    <row r="32" spans="1:15" ht="14.45" x14ac:dyDescent="0.3">
      <c r="A32" s="279">
        <v>239</v>
      </c>
      <c r="B32" s="279" t="s">
        <v>106</v>
      </c>
      <c r="C32" s="1178" t="str">
        <f>SU_03001</f>
        <v>SU 03001</v>
      </c>
      <c r="D32" s="276" t="s">
        <v>13</v>
      </c>
      <c r="E32" s="276" t="str">
        <f t="shared" ref="E32:E42" si="4">$F$31</f>
        <v>Upper Back A-arm</v>
      </c>
      <c r="F32" s="281" t="str">
        <f>'SU 03001'!$B$5</f>
        <v>Upper Back Bearing Support</v>
      </c>
      <c r="G32" s="276"/>
      <c r="H32" s="275">
        <f t="shared" si="0"/>
        <v>16.4854905344</v>
      </c>
      <c r="I32" s="274">
        <f>SU_A0300_q*SU_03001_q</f>
        <v>2</v>
      </c>
      <c r="J32" s="273">
        <f>SU_03001_m</f>
        <v>2.4914905344</v>
      </c>
      <c r="K32" s="273">
        <f>SU_03001_p</f>
        <v>13.994000000000002</v>
      </c>
      <c r="L32" s="273">
        <v>0</v>
      </c>
      <c r="M32" s="273">
        <v>0</v>
      </c>
      <c r="N32" s="272">
        <f t="shared" si="1"/>
        <v>32.9709810688</v>
      </c>
      <c r="O32" s="271">
        <v>387</v>
      </c>
    </row>
    <row r="33" spans="1:15" ht="14.45" x14ac:dyDescent="0.3">
      <c r="A33" s="279">
        <v>240</v>
      </c>
      <c r="B33" s="279" t="s">
        <v>106</v>
      </c>
      <c r="C33" s="1178" t="str">
        <f>SU_03002</f>
        <v>SU 03002</v>
      </c>
      <c r="D33" s="276" t="s">
        <v>13</v>
      </c>
      <c r="E33" s="276" t="str">
        <f t="shared" si="4"/>
        <v>Upper Back A-arm</v>
      </c>
      <c r="F33" s="281" t="str">
        <f>'SU 03002'!$B$5</f>
        <v>Inner Bearing Support</v>
      </c>
      <c r="G33" s="276"/>
      <c r="H33" s="275">
        <f t="shared" si="0"/>
        <v>1.8728805440000003</v>
      </c>
      <c r="I33" s="274">
        <f>SU_A0300_q*SU_03002_q</f>
        <v>4</v>
      </c>
      <c r="J33" s="273">
        <f>SU_03002_m</f>
        <v>0.85838054400000008</v>
      </c>
      <c r="K33" s="273">
        <f>SU_03002_p</f>
        <v>1.0145000000000002</v>
      </c>
      <c r="L33" s="273">
        <v>0</v>
      </c>
      <c r="M33" s="273">
        <v>0</v>
      </c>
      <c r="N33" s="272">
        <f t="shared" si="1"/>
        <v>7.491522176000001</v>
      </c>
      <c r="O33" s="271">
        <v>389</v>
      </c>
    </row>
    <row r="34" spans="1:15" ht="14.45" x14ac:dyDescent="0.3">
      <c r="A34" s="279">
        <v>241</v>
      </c>
      <c r="B34" s="279" t="s">
        <v>106</v>
      </c>
      <c r="C34" s="1178" t="str">
        <f>SU_03003</f>
        <v>SU 03003</v>
      </c>
      <c r="D34" s="276" t="s">
        <v>13</v>
      </c>
      <c r="E34" s="276" t="str">
        <f t="shared" si="4"/>
        <v>Upper Back A-arm</v>
      </c>
      <c r="F34" s="281" t="str">
        <f>'SU 03003'!$B$5</f>
        <v>Upper Back A-arm tube (Front)  Carbon Fiber Tube</v>
      </c>
      <c r="G34" s="276"/>
      <c r="H34" s="275">
        <f t="shared" si="0"/>
        <v>10.876934879999999</v>
      </c>
      <c r="I34" s="274">
        <f>SU_A0300_q*SU_03003_q</f>
        <v>2</v>
      </c>
      <c r="J34" s="273">
        <f>SU_03003_m</f>
        <v>9.6683865599999983</v>
      </c>
      <c r="K34" s="273">
        <f>SU_03003_p</f>
        <v>1.2085483199999998</v>
      </c>
      <c r="L34" s="273">
        <v>0</v>
      </c>
      <c r="M34" s="273">
        <v>0</v>
      </c>
      <c r="N34" s="272">
        <f t="shared" si="1"/>
        <v>21.753869759999997</v>
      </c>
      <c r="O34" s="271">
        <v>391</v>
      </c>
    </row>
    <row r="35" spans="1:15" ht="14.45" x14ac:dyDescent="0.3">
      <c r="A35" s="279">
        <v>242</v>
      </c>
      <c r="B35" s="279" t="s">
        <v>106</v>
      </c>
      <c r="C35" s="1178" t="str">
        <f>SU_03004</f>
        <v>SU 03004</v>
      </c>
      <c r="D35" s="276" t="s">
        <v>13</v>
      </c>
      <c r="E35" s="276" t="str">
        <f t="shared" si="4"/>
        <v>Upper Back A-arm</v>
      </c>
      <c r="F35" s="281" t="str">
        <f>'SU 03004'!$B$5</f>
        <v>Upper Back A-arm tube (Back)  Carbon Fiber Tube</v>
      </c>
      <c r="G35" s="276"/>
      <c r="H35" s="275">
        <f t="shared" si="0"/>
        <v>4.3445228399999989</v>
      </c>
      <c r="I35" s="274">
        <f>SU_A0300_q*SU_03004_q</f>
        <v>2</v>
      </c>
      <c r="J35" s="273">
        <f>SU_03004_m</f>
        <v>3.8617980799999994</v>
      </c>
      <c r="K35" s="273">
        <f>SU_03004_p</f>
        <v>0.48272475999999992</v>
      </c>
      <c r="L35" s="273">
        <v>0</v>
      </c>
      <c r="M35" s="273">
        <v>0</v>
      </c>
      <c r="N35" s="272">
        <f t="shared" si="1"/>
        <v>8.6890456799999978</v>
      </c>
      <c r="O35" s="271">
        <v>392</v>
      </c>
    </row>
    <row r="36" spans="1:15" ht="14.45" x14ac:dyDescent="0.3">
      <c r="A36" s="279">
        <v>243</v>
      </c>
      <c r="B36" s="279" t="s">
        <v>106</v>
      </c>
      <c r="C36" s="1178" t="str">
        <f>SU_03005</f>
        <v>SU 03005</v>
      </c>
      <c r="D36" s="276" t="s">
        <v>13</v>
      </c>
      <c r="E36" s="276" t="str">
        <f t="shared" si="4"/>
        <v>Upper Back A-arm</v>
      </c>
      <c r="F36" s="281" t="str">
        <f>'SU 03005'!$B$5</f>
        <v>Spacer 1</v>
      </c>
      <c r="G36" s="276"/>
      <c r="H36" s="275">
        <f t="shared" si="0"/>
        <v>0.7197472800000001</v>
      </c>
      <c r="I36" s="274">
        <f>SU_A0300_q*SU_03005_q</f>
        <v>4</v>
      </c>
      <c r="J36" s="273">
        <f>SU_03005_m</f>
        <v>1.7747280000000004E-2</v>
      </c>
      <c r="K36" s="273">
        <f>SU_03005_p</f>
        <v>0.70200000000000007</v>
      </c>
      <c r="L36" s="273">
        <v>0</v>
      </c>
      <c r="M36" s="273">
        <v>0</v>
      </c>
      <c r="N36" s="272">
        <f t="shared" si="1"/>
        <v>2.8789891200000004</v>
      </c>
      <c r="O36" s="271">
        <v>393</v>
      </c>
    </row>
    <row r="37" spans="1:15" ht="14.45" x14ac:dyDescent="0.3">
      <c r="A37" s="279">
        <v>244</v>
      </c>
      <c r="B37" s="279" t="s">
        <v>106</v>
      </c>
      <c r="C37" s="1178" t="str">
        <f>SU_03006</f>
        <v>SU 03006</v>
      </c>
      <c r="D37" s="276" t="s">
        <v>13</v>
      </c>
      <c r="E37" s="276" t="str">
        <f t="shared" si="4"/>
        <v>Upper Back A-arm</v>
      </c>
      <c r="F37" s="281" t="str">
        <f>'SU 03006'!$B$5</f>
        <v>Spacer 2</v>
      </c>
      <c r="G37" s="276"/>
      <c r="H37" s="275">
        <f t="shared" si="0"/>
        <v>0.32421353411764708</v>
      </c>
      <c r="I37" s="274">
        <f>SU_A0300_q*SU_03006_q</f>
        <v>8</v>
      </c>
      <c r="J37" s="273">
        <f>SU_03006_m</f>
        <v>0.14197824000000003</v>
      </c>
      <c r="K37" s="273">
        <f>SU_03006_p</f>
        <v>0.18223529411764708</v>
      </c>
      <c r="L37" s="273">
        <v>0</v>
      </c>
      <c r="M37" s="273">
        <v>0</v>
      </c>
      <c r="N37" s="272">
        <f t="shared" si="1"/>
        <v>2.5937082729411767</v>
      </c>
      <c r="O37" s="271">
        <v>395</v>
      </c>
    </row>
    <row r="38" spans="1:15" ht="14.45" x14ac:dyDescent="0.3">
      <c r="A38" s="279">
        <v>245</v>
      </c>
      <c r="B38" s="279" t="s">
        <v>106</v>
      </c>
      <c r="C38" s="1178" t="str">
        <f>SU_03007</f>
        <v>SU 03007</v>
      </c>
      <c r="D38" s="276" t="s">
        <v>13</v>
      </c>
      <c r="E38" s="276" t="str">
        <f t="shared" si="4"/>
        <v>Upper Back A-arm</v>
      </c>
      <c r="F38" s="281" t="str">
        <f>'SU 03007'!$B$5</f>
        <v>Outboard A-arm Insert</v>
      </c>
      <c r="G38" s="276"/>
      <c r="H38" s="275">
        <f t="shared" si="0"/>
        <v>0.47719727680000001</v>
      </c>
      <c r="I38" s="274">
        <f>SU_A0300_q*SU_03007_q</f>
        <v>4</v>
      </c>
      <c r="J38" s="273">
        <f>SU_03007_m</f>
        <v>7.7197276800000006E-2</v>
      </c>
      <c r="K38" s="273">
        <f>SU_03007_p</f>
        <v>0.4</v>
      </c>
      <c r="L38" s="273">
        <v>0</v>
      </c>
      <c r="M38" s="273">
        <v>0</v>
      </c>
      <c r="N38" s="272">
        <f t="shared" si="1"/>
        <v>1.9087891072000001</v>
      </c>
      <c r="O38" s="271">
        <v>397</v>
      </c>
    </row>
    <row r="39" spans="1:15" ht="14.45" x14ac:dyDescent="0.3">
      <c r="A39" s="279">
        <v>246</v>
      </c>
      <c r="B39" s="279" t="s">
        <v>106</v>
      </c>
      <c r="C39" s="1178" t="str">
        <f>SU_03008</f>
        <v>SU 03008</v>
      </c>
      <c r="D39" s="276" t="s">
        <v>13</v>
      </c>
      <c r="E39" s="276" t="str">
        <f t="shared" si="4"/>
        <v>Upper Back A-arm</v>
      </c>
      <c r="F39" s="281" t="str">
        <f>'SU 03008'!$B$5</f>
        <v>Front up bracket</v>
      </c>
      <c r="G39" s="276"/>
      <c r="H39" s="275">
        <f t="shared" ref="H39:H70" si="5">SUM(J39:M39)</f>
        <v>1.4969516249999999</v>
      </c>
      <c r="I39" s="274">
        <f>SU_A0300_q*SU_03008_q</f>
        <v>2</v>
      </c>
      <c r="J39" s="273">
        <f>SU_03008_m</f>
        <v>0.19777862500000001</v>
      </c>
      <c r="K39" s="273">
        <f>SU_03008_p</f>
        <v>1.2991729999999999</v>
      </c>
      <c r="L39" s="273">
        <v>0</v>
      </c>
      <c r="M39" s="273">
        <v>0</v>
      </c>
      <c r="N39" s="272">
        <f t="shared" ref="N39:N70" si="6">H39*I39</f>
        <v>2.9939032499999998</v>
      </c>
      <c r="O39" s="271">
        <v>399</v>
      </c>
    </row>
    <row r="40" spans="1:15" ht="14.45" x14ac:dyDescent="0.3">
      <c r="A40" s="279">
        <v>247</v>
      </c>
      <c r="B40" s="279" t="s">
        <v>106</v>
      </c>
      <c r="C40" s="1178" t="str">
        <f>SU_03009</f>
        <v>SU 03009</v>
      </c>
      <c r="D40" s="276" t="s">
        <v>13</v>
      </c>
      <c r="E40" s="276" t="str">
        <f t="shared" si="4"/>
        <v>Upper Back A-arm</v>
      </c>
      <c r="F40" s="281" t="str">
        <f>'SU 03009'!$B$5</f>
        <v>Front down bracket</v>
      </c>
      <c r="G40" s="276"/>
      <c r="H40" s="275">
        <f t="shared" si="5"/>
        <v>1.49211</v>
      </c>
      <c r="I40" s="274">
        <f>SU_A0300_q*SU_03009_q</f>
        <v>2</v>
      </c>
      <c r="J40" s="273">
        <f>SU_03009_m</f>
        <v>0.19063000000000002</v>
      </c>
      <c r="K40" s="273">
        <f>SU_03009_p</f>
        <v>1.30148</v>
      </c>
      <c r="L40" s="273">
        <v>0</v>
      </c>
      <c r="M40" s="273">
        <v>0</v>
      </c>
      <c r="N40" s="272">
        <f t="shared" si="6"/>
        <v>2.9842200000000001</v>
      </c>
      <c r="O40" s="271">
        <v>401</v>
      </c>
    </row>
    <row r="41" spans="1:15" ht="14.45" x14ac:dyDescent="0.3">
      <c r="A41" s="279">
        <v>248</v>
      </c>
      <c r="B41" s="279" t="s">
        <v>106</v>
      </c>
      <c r="C41" s="1178" t="str">
        <f>SU_03010</f>
        <v>SU 03010</v>
      </c>
      <c r="D41" s="276" t="s">
        <v>13</v>
      </c>
      <c r="E41" s="276" t="str">
        <f t="shared" si="4"/>
        <v>Upper Back A-arm</v>
      </c>
      <c r="F41" s="281" t="str">
        <f>'SU 03010'!$B$5</f>
        <v>Rear up bracket</v>
      </c>
      <c r="G41" s="276"/>
      <c r="H41" s="275">
        <f t="shared" si="5"/>
        <v>1.2680301249999999</v>
      </c>
      <c r="I41" s="274">
        <f>SU_A0300_q*SU_03010_q</f>
        <v>2</v>
      </c>
      <c r="J41" s="273">
        <f>SU_03010_m</f>
        <v>7.3869125000000008E-2</v>
      </c>
      <c r="K41" s="273">
        <f>SU_03010_p</f>
        <v>1.1941609999999998</v>
      </c>
      <c r="L41" s="273">
        <v>0</v>
      </c>
      <c r="M41" s="273">
        <v>0</v>
      </c>
      <c r="N41" s="272">
        <f t="shared" si="6"/>
        <v>2.5360602499999998</v>
      </c>
      <c r="O41" s="271">
        <v>403</v>
      </c>
    </row>
    <row r="42" spans="1:15" ht="14.45" x14ac:dyDescent="0.3">
      <c r="A42" s="279">
        <v>249</v>
      </c>
      <c r="B42" s="279" t="s">
        <v>106</v>
      </c>
      <c r="C42" s="1178" t="str">
        <f>SU_03011</f>
        <v>SU 03011</v>
      </c>
      <c r="D42" s="276" t="s">
        <v>13</v>
      </c>
      <c r="E42" s="276" t="str">
        <f t="shared" si="4"/>
        <v>Upper Back A-arm</v>
      </c>
      <c r="F42" s="281" t="str">
        <f>'SU 03011'!$B$5</f>
        <v>Rear down bracket</v>
      </c>
      <c r="G42" s="276"/>
      <c r="H42" s="275">
        <f t="shared" si="5"/>
        <v>1.3787631249999999</v>
      </c>
      <c r="I42" s="274">
        <f>SU_A0300_q*SU_03011_q</f>
        <v>2</v>
      </c>
      <c r="J42" s="273">
        <f>SU_03011_m</f>
        <v>0.13105812499999997</v>
      </c>
      <c r="K42" s="273">
        <f>SU_03011_p</f>
        <v>1.2477049999999998</v>
      </c>
      <c r="L42" s="273">
        <v>0</v>
      </c>
      <c r="M42" s="273">
        <v>0</v>
      </c>
      <c r="N42" s="272">
        <f t="shared" si="6"/>
        <v>2.7575262499999997</v>
      </c>
      <c r="O42" s="271">
        <v>405</v>
      </c>
    </row>
    <row r="43" spans="1:15" ht="14.45" x14ac:dyDescent="0.3">
      <c r="A43" s="290">
        <v>250</v>
      </c>
      <c r="B43" s="289" t="s">
        <v>106</v>
      </c>
      <c r="C43" s="287" t="str">
        <f>SU_A0400</f>
        <v>SU A0400</v>
      </c>
      <c r="D43" s="287" t="s">
        <v>13</v>
      </c>
      <c r="E43" s="287"/>
      <c r="F43" s="297" t="str">
        <f>'SU A0400'!B4</f>
        <v>Lower Back A-arm</v>
      </c>
      <c r="G43" s="287"/>
      <c r="H43" s="286">
        <f t="shared" si="5"/>
        <v>38.579540947087935</v>
      </c>
      <c r="I43" s="296">
        <f>SU_A0400_q</f>
        <v>2</v>
      </c>
      <c r="J43" s="284">
        <f>SU_A0400_m</f>
        <v>20.759999999999998</v>
      </c>
      <c r="K43" s="284">
        <f>SU_A0400_p</f>
        <v>16.033700000000003</v>
      </c>
      <c r="L43" s="284">
        <f>SU_A0400_f</f>
        <v>0.45250761375459631</v>
      </c>
      <c r="M43" s="284">
        <f>SU_A0400_t</f>
        <v>1.3333333333333333</v>
      </c>
      <c r="N43" s="283">
        <f t="shared" si="6"/>
        <v>77.15908189417587</v>
      </c>
      <c r="O43" s="282">
        <v>407</v>
      </c>
    </row>
    <row r="44" spans="1:15" ht="14.45" x14ac:dyDescent="0.3">
      <c r="A44" s="279">
        <v>251</v>
      </c>
      <c r="B44" s="279" t="s">
        <v>106</v>
      </c>
      <c r="C44" s="1178" t="str">
        <f>SU_04001</f>
        <v>SU 04001</v>
      </c>
      <c r="D44" s="276" t="s">
        <v>13</v>
      </c>
      <c r="E44" s="276" t="str">
        <f t="shared" ref="E44:E54" si="7">$F$43</f>
        <v>Lower Back A-arm</v>
      </c>
      <c r="F44" s="281" t="str">
        <f>'SU 04001'!$B$5</f>
        <v>Lower Back Bearing Support</v>
      </c>
      <c r="G44" s="276"/>
      <c r="H44" s="275">
        <f t="shared" si="5"/>
        <v>8.9540000000000006</v>
      </c>
      <c r="I44" s="274">
        <f>SU_A0400_q*SU_04001_q</f>
        <v>2</v>
      </c>
      <c r="J44" s="273">
        <f>SU_04001_m</f>
        <v>4.2</v>
      </c>
      <c r="K44" s="273">
        <f>SU_04001_p</f>
        <v>4.7540000000000004</v>
      </c>
      <c r="L44" s="273">
        <v>0</v>
      </c>
      <c r="M44" s="273">
        <v>0</v>
      </c>
      <c r="N44" s="272">
        <f t="shared" si="6"/>
        <v>17.908000000000001</v>
      </c>
      <c r="O44" s="271">
        <v>409</v>
      </c>
    </row>
    <row r="45" spans="1:15" ht="14.45" x14ac:dyDescent="0.3">
      <c r="A45" s="279">
        <v>252</v>
      </c>
      <c r="B45" s="279" t="s">
        <v>106</v>
      </c>
      <c r="C45" s="1178" t="str">
        <f>SU_04002</f>
        <v>SU_04002</v>
      </c>
      <c r="D45" s="276" t="s">
        <v>13</v>
      </c>
      <c r="E45" s="276" t="str">
        <f t="shared" si="7"/>
        <v>Lower Back A-arm</v>
      </c>
      <c r="F45" s="281" t="str">
        <f>'SU 04002'!$B$5</f>
        <v>Inner Bearing Support</v>
      </c>
      <c r="G45" s="276"/>
      <c r="H45" s="275">
        <f t="shared" si="5"/>
        <v>1.8728805440000003</v>
      </c>
      <c r="I45" s="274">
        <f>SU_A0400_q*SU_04002_q</f>
        <v>4</v>
      </c>
      <c r="J45" s="273">
        <f>SU_04002_m</f>
        <v>0.85838054400000008</v>
      </c>
      <c r="K45" s="273">
        <f>SU_04002_p</f>
        <v>1.0145000000000002</v>
      </c>
      <c r="L45" s="273">
        <v>0</v>
      </c>
      <c r="M45" s="273">
        <v>0</v>
      </c>
      <c r="N45" s="272">
        <f t="shared" si="6"/>
        <v>7.491522176000001</v>
      </c>
      <c r="O45" s="271">
        <v>411</v>
      </c>
    </row>
    <row r="46" spans="1:15" ht="14.45" x14ac:dyDescent="0.3">
      <c r="A46" s="279">
        <v>253</v>
      </c>
      <c r="B46" s="279" t="s">
        <v>106</v>
      </c>
      <c r="C46" s="1178" t="str">
        <f>SU_04003</f>
        <v>SU_04003</v>
      </c>
      <c r="D46" s="276" t="s">
        <v>13</v>
      </c>
      <c r="E46" s="276" t="str">
        <f t="shared" si="7"/>
        <v>Lower Back A-arm</v>
      </c>
      <c r="F46" s="281" t="str">
        <f>'SU 04003'!$B$5</f>
        <v>Lower Back A-arm tube (Front)  Carbon Fiber Tube</v>
      </c>
      <c r="G46" s="276"/>
      <c r="H46" s="275">
        <f t="shared" si="5"/>
        <v>12.033390599999997</v>
      </c>
      <c r="I46" s="274">
        <f>SU_A0400_q*SU_04003_q</f>
        <v>2</v>
      </c>
      <c r="J46" s="273">
        <f>SU_04003_m</f>
        <v>10.696347199999998</v>
      </c>
      <c r="K46" s="273">
        <f>SU_04003_p</f>
        <v>1.3370433999999998</v>
      </c>
      <c r="L46" s="273">
        <v>0</v>
      </c>
      <c r="M46" s="273">
        <v>0</v>
      </c>
      <c r="N46" s="272">
        <f t="shared" si="6"/>
        <v>24.066781199999994</v>
      </c>
      <c r="O46" s="271">
        <v>413</v>
      </c>
    </row>
    <row r="47" spans="1:15" ht="14.45" x14ac:dyDescent="0.3">
      <c r="A47" s="279">
        <v>254</v>
      </c>
      <c r="B47" s="279" t="s">
        <v>106</v>
      </c>
      <c r="C47" s="1178" t="str">
        <f>SU_04004</f>
        <v>SU_04004</v>
      </c>
      <c r="D47" s="276" t="s">
        <v>13</v>
      </c>
      <c r="E47" s="276" t="str">
        <f t="shared" si="7"/>
        <v>Lower Back A-arm</v>
      </c>
      <c r="F47" s="281" t="str">
        <f>'SU 04004'!$B$5</f>
        <v>Lower Back A-arm tube (Back)  Carbon Fiber Tube</v>
      </c>
      <c r="G47" s="276"/>
      <c r="H47" s="275">
        <f t="shared" si="5"/>
        <v>7.4075677199999985</v>
      </c>
      <c r="I47" s="274">
        <f>SU_A0400_q*SU_04004_q</f>
        <v>2</v>
      </c>
      <c r="J47" s="273">
        <f>SU_04004_m</f>
        <v>6.5845046399999987</v>
      </c>
      <c r="K47" s="273">
        <f>SU_04004_p</f>
        <v>0.82306307999999995</v>
      </c>
      <c r="L47" s="273">
        <v>0</v>
      </c>
      <c r="M47" s="273">
        <v>0</v>
      </c>
      <c r="N47" s="272">
        <f t="shared" si="6"/>
        <v>14.815135439999997</v>
      </c>
      <c r="O47" s="271">
        <v>414</v>
      </c>
    </row>
    <row r="48" spans="1:15" ht="14.45" x14ac:dyDescent="0.3">
      <c r="A48" s="279">
        <v>255</v>
      </c>
      <c r="B48" s="279" t="s">
        <v>106</v>
      </c>
      <c r="C48" s="1178" t="str">
        <f>SU_04005</f>
        <v>SU_04005</v>
      </c>
      <c r="D48" s="276" t="s">
        <v>13</v>
      </c>
      <c r="E48" s="276" t="str">
        <f t="shared" si="7"/>
        <v>Lower Back A-arm</v>
      </c>
      <c r="F48" s="281" t="str">
        <f>'SU 04005'!$B$5</f>
        <v>Spacer 1</v>
      </c>
      <c r="G48" s="276"/>
      <c r="H48" s="275">
        <f t="shared" si="5"/>
        <v>1.6276857568</v>
      </c>
      <c r="I48" s="274">
        <f>SU_A0400_q*SU_04005_q</f>
        <v>4</v>
      </c>
      <c r="J48" s="273">
        <f>SU_04005_m</f>
        <v>2.7685756800000003E-2</v>
      </c>
      <c r="K48" s="273">
        <f>SU_04005_p</f>
        <v>1.6</v>
      </c>
      <c r="L48" s="273">
        <v>0</v>
      </c>
      <c r="M48" s="273">
        <v>0</v>
      </c>
      <c r="N48" s="272">
        <f t="shared" si="6"/>
        <v>6.5107430272000002</v>
      </c>
      <c r="O48" s="271">
        <v>415</v>
      </c>
    </row>
    <row r="49" spans="1:15" ht="14.45" x14ac:dyDescent="0.3">
      <c r="A49" s="279">
        <v>256</v>
      </c>
      <c r="B49" s="279" t="s">
        <v>106</v>
      </c>
      <c r="C49" s="1178" t="str">
        <f>SU_04006</f>
        <v>SU_04006</v>
      </c>
      <c r="D49" s="276" t="s">
        <v>13</v>
      </c>
      <c r="E49" s="276" t="str">
        <f t="shared" si="7"/>
        <v>Lower Back A-arm</v>
      </c>
      <c r="F49" s="281" t="str">
        <f>'SU 04006'!$B$5</f>
        <v>Spacer 2</v>
      </c>
      <c r="G49" s="276"/>
      <c r="H49" s="275">
        <f t="shared" si="5"/>
        <v>0.80517824000000005</v>
      </c>
      <c r="I49" s="274">
        <f>SU_A0400_q*SU_04006_q</f>
        <v>8</v>
      </c>
      <c r="J49" s="273">
        <f>SU_04006_m</f>
        <v>0.14197824000000003</v>
      </c>
      <c r="K49" s="273">
        <f>SU_04006_p</f>
        <v>0.66320000000000001</v>
      </c>
      <c r="L49" s="273">
        <v>0</v>
      </c>
      <c r="M49" s="273">
        <v>0</v>
      </c>
      <c r="N49" s="272">
        <f t="shared" si="6"/>
        <v>6.4414259200000004</v>
      </c>
      <c r="O49" s="271">
        <v>417</v>
      </c>
    </row>
    <row r="50" spans="1:15" ht="14.45" x14ac:dyDescent="0.3">
      <c r="A50" s="279">
        <v>257</v>
      </c>
      <c r="B50" s="279" t="s">
        <v>106</v>
      </c>
      <c r="C50" s="1178" t="str">
        <f>SU_04007</f>
        <v>SU_04007</v>
      </c>
      <c r="D50" s="276" t="s">
        <v>13</v>
      </c>
      <c r="E50" s="276" t="str">
        <f t="shared" si="7"/>
        <v>Lower Back A-arm</v>
      </c>
      <c r="F50" s="281" t="str">
        <f>'SU 04007'!$B$5</f>
        <v>Outboard A-arm Insert</v>
      </c>
      <c r="G50" s="276"/>
      <c r="H50" s="275">
        <f t="shared" si="5"/>
        <v>0.47719727680000001</v>
      </c>
      <c r="I50" s="274">
        <f>SU_A0400_q*SU_04007_q</f>
        <v>4</v>
      </c>
      <c r="J50" s="273">
        <f>SU_04007_m</f>
        <v>7.7197276800000006E-2</v>
      </c>
      <c r="K50" s="273">
        <f>SU_04007_p</f>
        <v>0.4</v>
      </c>
      <c r="L50" s="273">
        <v>0</v>
      </c>
      <c r="M50" s="273">
        <v>0</v>
      </c>
      <c r="N50" s="272">
        <f t="shared" si="6"/>
        <v>1.9087891072000001</v>
      </c>
      <c r="O50" s="271">
        <v>419</v>
      </c>
    </row>
    <row r="51" spans="1:15" ht="14.45" x14ac:dyDescent="0.3">
      <c r="A51" s="279">
        <v>258</v>
      </c>
      <c r="B51" s="279" t="s">
        <v>106</v>
      </c>
      <c r="C51" s="1178" t="str">
        <f>SU_04008</f>
        <v>SU 04008</v>
      </c>
      <c r="D51" s="276" t="s">
        <v>13</v>
      </c>
      <c r="E51" s="276" t="str">
        <f t="shared" si="7"/>
        <v>Lower Back A-arm</v>
      </c>
      <c r="F51" s="281" t="str">
        <f>'SU 04008'!$B$5</f>
        <v>Front up bracket</v>
      </c>
      <c r="G51" s="276"/>
      <c r="H51" s="275">
        <f t="shared" si="5"/>
        <v>1.3905750000000001</v>
      </c>
      <c r="I51" s="274">
        <f>SU_A0400_q*SU_04008_q</f>
        <v>2</v>
      </c>
      <c r="J51" s="273">
        <f>SU_04008_m</f>
        <v>0.12997500000000001</v>
      </c>
      <c r="K51" s="273">
        <f>SU_04008_p</f>
        <v>1.2606000000000002</v>
      </c>
      <c r="L51" s="273">
        <v>0</v>
      </c>
      <c r="M51" s="273">
        <v>0</v>
      </c>
      <c r="N51" s="272">
        <f t="shared" si="6"/>
        <v>2.7811500000000002</v>
      </c>
      <c r="O51" s="271">
        <v>421</v>
      </c>
    </row>
    <row r="52" spans="1:15" ht="14.45" x14ac:dyDescent="0.3">
      <c r="A52" s="279">
        <v>259</v>
      </c>
      <c r="B52" s="279" t="s">
        <v>106</v>
      </c>
      <c r="C52" s="1178" t="str">
        <f>SU_04009</f>
        <v>SU 04009</v>
      </c>
      <c r="D52" s="276" t="s">
        <v>13</v>
      </c>
      <c r="E52" s="276" t="str">
        <f t="shared" si="7"/>
        <v>Lower Back A-arm</v>
      </c>
      <c r="F52" s="281" t="str">
        <f>'SU 04009'!$B$5</f>
        <v>Front down bracket</v>
      </c>
      <c r="G52" s="276"/>
      <c r="H52" s="275">
        <f t="shared" si="5"/>
        <v>1.3814265000000003</v>
      </c>
      <c r="I52" s="274">
        <f>SU_A0400_q*SU_04009_q</f>
        <v>2</v>
      </c>
      <c r="J52" s="273">
        <f>SU_04009_m</f>
        <v>0.13257449999999998</v>
      </c>
      <c r="K52" s="273">
        <f>SU_04009_p</f>
        <v>1.2488520000000003</v>
      </c>
      <c r="L52" s="273">
        <v>0</v>
      </c>
      <c r="M52" s="273">
        <v>0</v>
      </c>
      <c r="N52" s="272">
        <f t="shared" si="6"/>
        <v>2.7628530000000007</v>
      </c>
      <c r="O52" s="271">
        <v>423</v>
      </c>
    </row>
    <row r="53" spans="1:15" ht="14.45" x14ac:dyDescent="0.3">
      <c r="A53" s="279">
        <v>260</v>
      </c>
      <c r="B53" s="279" t="s">
        <v>106</v>
      </c>
      <c r="C53" s="1178" t="str">
        <f>SU_04010</f>
        <v>SU 04010</v>
      </c>
      <c r="D53" s="276" t="s">
        <v>13</v>
      </c>
      <c r="E53" s="276" t="str">
        <f t="shared" si="7"/>
        <v>Lower Back A-arm</v>
      </c>
      <c r="F53" s="281" t="str">
        <f>'SU 04010'!$B$5</f>
        <v>Rear up bracket</v>
      </c>
      <c r="G53" s="276"/>
      <c r="H53" s="275">
        <f t="shared" si="5"/>
        <v>1.8130709999999999</v>
      </c>
      <c r="I53" s="274">
        <f>SU_A0400_q*SU_04010_q</f>
        <v>2</v>
      </c>
      <c r="J53" s="273">
        <f>SU_04010_m</f>
        <v>0.29634299999999991</v>
      </c>
      <c r="K53" s="273">
        <f>SU_04010_p</f>
        <v>1.5167280000000001</v>
      </c>
      <c r="L53" s="273">
        <v>0</v>
      </c>
      <c r="M53" s="273">
        <v>0</v>
      </c>
      <c r="N53" s="272">
        <f t="shared" si="6"/>
        <v>3.6261419999999998</v>
      </c>
      <c r="O53" s="271">
        <v>425</v>
      </c>
    </row>
    <row r="54" spans="1:15" ht="14.45" x14ac:dyDescent="0.3">
      <c r="A54" s="279">
        <v>261</v>
      </c>
      <c r="B54" s="279" t="s">
        <v>106</v>
      </c>
      <c r="C54" s="1178" t="str">
        <f>SU_04011</f>
        <v>SU 04011</v>
      </c>
      <c r="D54" s="276" t="s">
        <v>13</v>
      </c>
      <c r="E54" s="276" t="str">
        <f t="shared" si="7"/>
        <v>Lower Back A-arm</v>
      </c>
      <c r="F54" s="281" t="str">
        <f>'SU 04011'!$B$5</f>
        <v>Rear down bracket</v>
      </c>
      <c r="G54" s="276"/>
      <c r="H54" s="275">
        <f t="shared" si="5"/>
        <v>1.9015070000000001</v>
      </c>
      <c r="I54" s="274">
        <f>SU_A0400_q*SU_04011_q</f>
        <v>2</v>
      </c>
      <c r="J54" s="273">
        <f>SU_04011_m</f>
        <v>0.35873100000000002</v>
      </c>
      <c r="K54" s="273">
        <f>SU_04011_p</f>
        <v>1.5427759999999999</v>
      </c>
      <c r="L54" s="273">
        <v>0</v>
      </c>
      <c r="M54" s="273">
        <v>0</v>
      </c>
      <c r="N54" s="272">
        <f t="shared" si="6"/>
        <v>3.8030140000000001</v>
      </c>
      <c r="O54" s="271">
        <v>427</v>
      </c>
    </row>
    <row r="55" spans="1:15" ht="14.45" x14ac:dyDescent="0.3">
      <c r="A55" s="290">
        <v>262</v>
      </c>
      <c r="B55" s="290" t="s">
        <v>106</v>
      </c>
      <c r="C55" s="287" t="s">
        <v>182</v>
      </c>
      <c r="D55" s="287" t="s">
        <v>13</v>
      </c>
      <c r="E55" s="287"/>
      <c r="F55" s="288" t="str">
        <f>'SU A0500'!B4</f>
        <v>Front suspension</v>
      </c>
      <c r="G55" s="287"/>
      <c r="H55" s="286">
        <f t="shared" si="5"/>
        <v>202.69722874847344</v>
      </c>
      <c r="I55" s="285">
        <f>SU_A0500_q</f>
        <v>2</v>
      </c>
      <c r="J55" s="284">
        <f>SU_A0500_m</f>
        <v>200.04</v>
      </c>
      <c r="K55" s="284">
        <f>SU_A0500_p</f>
        <v>2.12</v>
      </c>
      <c r="L55" s="284">
        <f>SU_A0500_f</f>
        <v>0.20389541514008255</v>
      </c>
      <c r="M55" s="284">
        <f>SU_A0500_t</f>
        <v>0.33333333333333331</v>
      </c>
      <c r="N55" s="283">
        <f t="shared" si="6"/>
        <v>405.39445749694687</v>
      </c>
      <c r="O55" s="282">
        <v>429</v>
      </c>
    </row>
    <row r="56" spans="1:15" ht="14.45" x14ac:dyDescent="0.3">
      <c r="A56" s="279">
        <v>263</v>
      </c>
      <c r="B56" s="279" t="s">
        <v>106</v>
      </c>
      <c r="C56" s="1178" t="str">
        <f>SU_05001</f>
        <v>SU 05001</v>
      </c>
      <c r="D56" s="276" t="s">
        <v>13</v>
      </c>
      <c r="E56" s="276" t="str">
        <f>F55</f>
        <v>Front suspension</v>
      </c>
      <c r="F56" s="281" t="str">
        <f>'SU 05001'!B5</f>
        <v>Shock Front Bracket</v>
      </c>
      <c r="G56" s="276"/>
      <c r="H56" s="275">
        <f t="shared" si="5"/>
        <v>5.9234014172552163</v>
      </c>
      <c r="I56" s="280">
        <f>SU_05001_q*SU_A0500_q</f>
        <v>2</v>
      </c>
      <c r="J56" s="273">
        <f>SU_05001_m</f>
        <v>0.38660141725521602</v>
      </c>
      <c r="K56" s="273">
        <f>SU_05001_p</f>
        <v>5.5368000000000004</v>
      </c>
      <c r="L56" s="273">
        <v>0</v>
      </c>
      <c r="M56" s="273">
        <v>0</v>
      </c>
      <c r="N56" s="272">
        <f t="shared" si="6"/>
        <v>11.846802834510433</v>
      </c>
      <c r="O56" s="271">
        <v>430</v>
      </c>
    </row>
    <row r="57" spans="1:15" ht="14.45" x14ac:dyDescent="0.3">
      <c r="A57" s="290">
        <v>264</v>
      </c>
      <c r="B57" s="290" t="s">
        <v>106</v>
      </c>
      <c r="C57" s="287" t="str">
        <f>SU_A0600</f>
        <v>SU A0600</v>
      </c>
      <c r="D57" s="287" t="s">
        <v>13</v>
      </c>
      <c r="E57" s="287"/>
      <c r="F57" s="288" t="str">
        <f>'SU A0600'!B4</f>
        <v>Front Bell Crank</v>
      </c>
      <c r="G57" s="287"/>
      <c r="H57" s="286">
        <f t="shared" si="5"/>
        <v>2.2678904435983189</v>
      </c>
      <c r="I57" s="285">
        <f>SU_A0600_q</f>
        <v>2</v>
      </c>
      <c r="J57" s="284">
        <f>SU_A0600_m</f>
        <v>0.09</v>
      </c>
      <c r="K57" s="284">
        <f>SU_A0600_p</f>
        <v>1.5945</v>
      </c>
      <c r="L57" s="284">
        <f>SU_A0600_f</f>
        <v>0.25005711026498539</v>
      </c>
      <c r="M57" s="284">
        <f>SU_A0600_t</f>
        <v>0.33333333333333331</v>
      </c>
      <c r="N57" s="283">
        <f t="shared" si="6"/>
        <v>4.5357808871966379</v>
      </c>
      <c r="O57" s="282">
        <v>432</v>
      </c>
    </row>
    <row r="58" spans="1:15" ht="14.45" x14ac:dyDescent="0.3">
      <c r="A58" s="279">
        <v>265</v>
      </c>
      <c r="B58" s="279" t="s">
        <v>106</v>
      </c>
      <c r="C58" s="1178" t="str">
        <f>SU_06001</f>
        <v>SU 06001</v>
      </c>
      <c r="D58" s="276" t="s">
        <v>13</v>
      </c>
      <c r="E58" s="276" t="s">
        <v>180</v>
      </c>
      <c r="F58" s="281" t="s">
        <v>177</v>
      </c>
      <c r="G58" s="276"/>
      <c r="H58" s="275">
        <f t="shared" si="5"/>
        <v>1.3710986506763019</v>
      </c>
      <c r="I58" s="280">
        <f>SU_06001_q*SU_A0600_q</f>
        <v>4</v>
      </c>
      <c r="J58" s="273">
        <f>SU_06001_m</f>
        <v>4.6098650676301943E-2</v>
      </c>
      <c r="K58" s="273">
        <f>SU_06001_p</f>
        <v>1.325</v>
      </c>
      <c r="L58" s="273">
        <v>0</v>
      </c>
      <c r="M58" s="273">
        <v>0</v>
      </c>
      <c r="N58" s="272">
        <f t="shared" si="6"/>
        <v>5.4843946027052075</v>
      </c>
      <c r="O58" s="271">
        <v>433</v>
      </c>
    </row>
    <row r="59" spans="1:15" ht="14.45" x14ac:dyDescent="0.3">
      <c r="A59" s="279">
        <v>266</v>
      </c>
      <c r="B59" s="278" t="str">
        <f>'SU A0600'!$B$3</f>
        <v>Suspension &amp; Shocks</v>
      </c>
      <c r="C59" s="1178" t="str">
        <f>SU_06002</f>
        <v>SU 06002</v>
      </c>
      <c r="D59" s="276" t="s">
        <v>13</v>
      </c>
      <c r="E59" s="276" t="s">
        <v>180</v>
      </c>
      <c r="F59" s="281" t="s">
        <v>181</v>
      </c>
      <c r="G59" s="276"/>
      <c r="H59" s="275">
        <f t="shared" si="5"/>
        <v>1.5427786126391492</v>
      </c>
      <c r="I59" s="274">
        <f>SU_06002_q*SU_A0600_q</f>
        <v>2</v>
      </c>
      <c r="J59" s="273">
        <f>SU_06002_m</f>
        <v>5.4378612639149136E-2</v>
      </c>
      <c r="K59" s="273">
        <f>SU_06002_p</f>
        <v>1.4883999999999999</v>
      </c>
      <c r="L59" s="273">
        <v>0</v>
      </c>
      <c r="M59" s="273">
        <v>0</v>
      </c>
      <c r="N59" s="272">
        <f t="shared" si="6"/>
        <v>3.0855572252782983</v>
      </c>
      <c r="O59" s="271">
        <v>434</v>
      </c>
    </row>
    <row r="60" spans="1:15" ht="14.45" x14ac:dyDescent="0.3">
      <c r="A60" s="279">
        <v>267</v>
      </c>
      <c r="B60" s="278" t="str">
        <f>'SU A0600'!$B$3</f>
        <v>Suspension &amp; Shocks</v>
      </c>
      <c r="C60" s="1178" t="str">
        <f>SU_06003</f>
        <v>SU 06003</v>
      </c>
      <c r="D60" s="276" t="s">
        <v>13</v>
      </c>
      <c r="E60" s="276" t="s">
        <v>180</v>
      </c>
      <c r="F60" s="281" t="s">
        <v>176</v>
      </c>
      <c r="G60" s="276"/>
      <c r="H60" s="275">
        <f t="shared" si="5"/>
        <v>0.88140624999999995</v>
      </c>
      <c r="I60" s="274">
        <f>SU_06003_q*SU_A0600_q</f>
        <v>4</v>
      </c>
      <c r="J60" s="273">
        <f>SU_06003_m</f>
        <v>0.39740625000000002</v>
      </c>
      <c r="K60" s="273">
        <f>SU_06003_p</f>
        <v>0.48399999999999999</v>
      </c>
      <c r="L60" s="273">
        <v>0</v>
      </c>
      <c r="M60" s="273">
        <v>0</v>
      </c>
      <c r="N60" s="272">
        <f t="shared" si="6"/>
        <v>3.5256249999999998</v>
      </c>
      <c r="O60" s="271">
        <v>435</v>
      </c>
    </row>
    <row r="61" spans="1:15" ht="14.45" x14ac:dyDescent="0.3">
      <c r="A61" s="279">
        <v>268</v>
      </c>
      <c r="B61" s="278" t="str">
        <f>'SU A0600'!$B$3</f>
        <v>Suspension &amp; Shocks</v>
      </c>
      <c r="C61" s="1178" t="str">
        <f>SU_06004</f>
        <v>SU 06004</v>
      </c>
      <c r="D61" s="276" t="s">
        <v>13</v>
      </c>
      <c r="E61" s="276" t="s">
        <v>180</v>
      </c>
      <c r="F61" s="281" t="s">
        <v>179</v>
      </c>
      <c r="G61" s="276"/>
      <c r="H61" s="275">
        <f t="shared" si="5"/>
        <v>2.2702062500000002</v>
      </c>
      <c r="I61" s="274">
        <f>SU_06003_q*SU_A0600_q</f>
        <v>4</v>
      </c>
      <c r="J61" s="273">
        <f>SU_06004_m</f>
        <v>0.11480624999999998</v>
      </c>
      <c r="K61" s="273">
        <f>SU_06004_p</f>
        <v>2.1554000000000002</v>
      </c>
      <c r="L61" s="273">
        <v>0</v>
      </c>
      <c r="M61" s="273">
        <v>0</v>
      </c>
      <c r="N61" s="272">
        <f t="shared" si="6"/>
        <v>9.0808250000000008</v>
      </c>
      <c r="O61" s="271">
        <v>437</v>
      </c>
    </row>
    <row r="62" spans="1:15" ht="14.45" x14ac:dyDescent="0.3">
      <c r="A62" s="290">
        <v>269</v>
      </c>
      <c r="B62" s="289" t="str">
        <f>'SU A0600'!$B$3</f>
        <v>Suspension &amp; Shocks</v>
      </c>
      <c r="C62" s="287" t="str">
        <f>SU_A0700</f>
        <v>SU A0700</v>
      </c>
      <c r="D62" s="287" t="s">
        <v>13</v>
      </c>
      <c r="E62" s="287"/>
      <c r="F62" s="288" t="str">
        <f>'SU A0700'!B4</f>
        <v>Rear suspension</v>
      </c>
      <c r="G62" s="287"/>
      <c r="H62" s="286">
        <f t="shared" si="5"/>
        <v>205.02112416361351</v>
      </c>
      <c r="I62" s="285">
        <f>SU_A0700_q</f>
        <v>2</v>
      </c>
      <c r="J62" s="284">
        <f>SU_A0700_m</f>
        <v>200.04</v>
      </c>
      <c r="K62" s="284">
        <f>SU_A0700_p</f>
        <v>4.24</v>
      </c>
      <c r="L62" s="284">
        <f>SU_A0700_f</f>
        <v>0.40779083028016511</v>
      </c>
      <c r="M62" s="284">
        <f>SU_A0700_t</f>
        <v>0.33333333333333331</v>
      </c>
      <c r="N62" s="283">
        <f t="shared" si="6"/>
        <v>410.04224832722701</v>
      </c>
      <c r="O62" s="282">
        <v>439</v>
      </c>
    </row>
    <row r="63" spans="1:15" ht="14.45" x14ac:dyDescent="0.3">
      <c r="A63" s="279">
        <v>270</v>
      </c>
      <c r="B63" s="278" t="str">
        <f>'SU A0600'!$B$3</f>
        <v>Suspension &amp; Shocks</v>
      </c>
      <c r="C63" s="1178" t="str">
        <f>SU_07001</f>
        <v>SU 07001</v>
      </c>
      <c r="D63" s="276" t="s">
        <v>13</v>
      </c>
      <c r="E63" s="276" t="str">
        <f>F62</f>
        <v>Rear suspension</v>
      </c>
      <c r="F63" s="281" t="str">
        <f>'SU 07001'!B5</f>
        <v>Shock rear Bracket</v>
      </c>
      <c r="G63" s="276"/>
      <c r="H63" s="275">
        <f t="shared" si="5"/>
        <v>5.9234014172552163</v>
      </c>
      <c r="I63" s="280">
        <f>SU_07001_q*SU_A0700_q</f>
        <v>2</v>
      </c>
      <c r="J63" s="273">
        <f>SU_07001_m</f>
        <v>0.38660141725521602</v>
      </c>
      <c r="K63" s="273">
        <f>SU_07001_p</f>
        <v>5.5368000000000004</v>
      </c>
      <c r="L63" s="273">
        <v>0</v>
      </c>
      <c r="M63" s="273">
        <v>0</v>
      </c>
      <c r="N63" s="272">
        <f t="shared" si="6"/>
        <v>11.846802834510433</v>
      </c>
      <c r="O63" s="271">
        <v>441</v>
      </c>
    </row>
    <row r="64" spans="1:15" ht="14.45" x14ac:dyDescent="0.3">
      <c r="A64" s="290">
        <v>271</v>
      </c>
      <c r="B64" s="289" t="str">
        <f>'SU A0600'!$B$3</f>
        <v>Suspension &amp; Shocks</v>
      </c>
      <c r="C64" s="287" t="str">
        <f>SU_A0800</f>
        <v>SU A0800</v>
      </c>
      <c r="D64" s="287" t="s">
        <v>13</v>
      </c>
      <c r="E64" s="287"/>
      <c r="F64" s="288" t="s">
        <v>178</v>
      </c>
      <c r="G64" s="287"/>
      <c r="H64" s="286">
        <f t="shared" si="5"/>
        <v>4.8177252544509166</v>
      </c>
      <c r="I64" s="285">
        <f>SU_A0800_q</f>
        <v>2</v>
      </c>
      <c r="J64" s="284">
        <f>SU_A0800_m</f>
        <v>0.2</v>
      </c>
      <c r="K64" s="284">
        <f>SU_A0800_p</f>
        <v>3.5024999999999999</v>
      </c>
      <c r="L64" s="284">
        <f>SU_A0800_f</f>
        <v>0.11522525445091675</v>
      </c>
      <c r="M64" s="284">
        <f>SU_A0800_t</f>
        <v>1</v>
      </c>
      <c r="N64" s="283">
        <f t="shared" si="6"/>
        <v>9.6354505089018332</v>
      </c>
      <c r="O64" s="282">
        <v>441</v>
      </c>
    </row>
    <row r="65" spans="1:15" ht="14.45" x14ac:dyDescent="0.3">
      <c r="A65" s="279">
        <v>272</v>
      </c>
      <c r="B65" s="278" t="str">
        <f>'SU A0600'!$B$3</f>
        <v>Suspension &amp; Shocks</v>
      </c>
      <c r="C65" s="1178" t="str">
        <f>SU_08001</f>
        <v>SU 08001</v>
      </c>
      <c r="D65" s="276" t="s">
        <v>13</v>
      </c>
      <c r="E65" s="276" t="str">
        <f>$F$64</f>
        <v>Rear Bell Cranck</v>
      </c>
      <c r="F65" s="281" t="s">
        <v>177</v>
      </c>
      <c r="G65" s="276"/>
      <c r="H65" s="275">
        <f t="shared" si="5"/>
        <v>1.3710986506763019</v>
      </c>
      <c r="I65" s="280">
        <f>SU_08001_q*SU_A0800_q</f>
        <v>4</v>
      </c>
      <c r="J65" s="273">
        <f>SU_08001_m</f>
        <v>4.6098650676301943E-2</v>
      </c>
      <c r="K65" s="273">
        <f>SU_08001_p</f>
        <v>1.325</v>
      </c>
      <c r="L65" s="273">
        <v>0</v>
      </c>
      <c r="M65" s="273">
        <v>0</v>
      </c>
      <c r="N65" s="272">
        <f t="shared" si="6"/>
        <v>5.4843946027052075</v>
      </c>
      <c r="O65" s="271">
        <v>442</v>
      </c>
    </row>
    <row r="66" spans="1:15" ht="14.45" x14ac:dyDescent="0.3">
      <c r="A66" s="279">
        <v>273</v>
      </c>
      <c r="B66" s="278" t="str">
        <f>'SU A0800'!$B$3</f>
        <v>Suspension &amp; Shocks</v>
      </c>
      <c r="C66" s="1178" t="str">
        <f>SU_08002</f>
        <v>SU 08002</v>
      </c>
      <c r="D66" s="276" t="s">
        <v>13</v>
      </c>
      <c r="E66" s="276" t="str">
        <f>$F$64</f>
        <v>Rear Bell Cranck</v>
      </c>
      <c r="F66" s="281" t="s">
        <v>176</v>
      </c>
      <c r="G66" s="276"/>
      <c r="H66" s="275">
        <f t="shared" si="5"/>
        <v>2.0644187499999997</v>
      </c>
      <c r="I66" s="274">
        <f>SU_08002_q*SU_A0800_q</f>
        <v>4</v>
      </c>
      <c r="J66" s="273">
        <f>SU_08002_m</f>
        <v>0.34441874999999994</v>
      </c>
      <c r="K66" s="273">
        <f>SU_08002_p</f>
        <v>1.72</v>
      </c>
      <c r="L66" s="273">
        <v>0</v>
      </c>
      <c r="M66" s="273">
        <v>0</v>
      </c>
      <c r="N66" s="272">
        <f t="shared" si="6"/>
        <v>8.257674999999999</v>
      </c>
      <c r="O66" s="271">
        <v>443</v>
      </c>
    </row>
    <row r="67" spans="1:15" ht="14.45" x14ac:dyDescent="0.3">
      <c r="A67" s="279">
        <v>274</v>
      </c>
      <c r="B67" s="278" t="str">
        <f>'SU A0800'!$B$3</f>
        <v>Suspension &amp; Shocks</v>
      </c>
      <c r="C67" s="1178" t="str">
        <f>SU_08003</f>
        <v>SU 08003</v>
      </c>
      <c r="D67" s="276" t="s">
        <v>13</v>
      </c>
      <c r="E67" s="276" t="str">
        <f>$F$64</f>
        <v>Rear Bell Cranck</v>
      </c>
      <c r="F67" s="281" t="s">
        <v>175</v>
      </c>
      <c r="G67" s="276"/>
      <c r="H67" s="275">
        <f t="shared" si="5"/>
        <v>3.3779399999999997</v>
      </c>
      <c r="I67" s="274">
        <f>SU_08003_q*SU_A0800_q</f>
        <v>2</v>
      </c>
      <c r="J67" s="273">
        <f>SU_08003_m</f>
        <v>0.81953999999999994</v>
      </c>
      <c r="K67" s="273">
        <f>SU_08003_p</f>
        <v>2.5583999999999998</v>
      </c>
      <c r="L67" s="273">
        <v>0</v>
      </c>
      <c r="M67" s="273">
        <v>0</v>
      </c>
      <c r="N67" s="272">
        <f t="shared" si="6"/>
        <v>6.7558799999999994</v>
      </c>
      <c r="O67" s="271">
        <v>444</v>
      </c>
    </row>
    <row r="68" spans="1:15" ht="14.45" x14ac:dyDescent="0.3">
      <c r="A68" s="290">
        <v>275</v>
      </c>
      <c r="B68" s="289" t="str">
        <f>'SU A0600'!$B$3</f>
        <v>Suspension &amp; Shocks</v>
      </c>
      <c r="C68" s="287" t="str">
        <f>SU_A0900</f>
        <v>SU A0900</v>
      </c>
      <c r="D68" s="287" t="s">
        <v>13</v>
      </c>
      <c r="E68" s="287"/>
      <c r="F68" s="288" t="str">
        <f>'SU A0900'!B4</f>
        <v xml:space="preserve">Rear Tie rod  </v>
      </c>
      <c r="G68" s="287"/>
      <c r="H68" s="286">
        <f t="shared" si="5"/>
        <v>12.710626325139229</v>
      </c>
      <c r="I68" s="285">
        <f>SU_A0900_q</f>
        <v>2</v>
      </c>
      <c r="J68" s="284">
        <f>SU_A0900_m</f>
        <v>5.23</v>
      </c>
      <c r="K68" s="284">
        <f>SU_A0900_p</f>
        <v>6.92075</v>
      </c>
      <c r="L68" s="284">
        <f>SU_A0900_f</f>
        <v>0.55987632513922869</v>
      </c>
      <c r="M68" s="284">
        <v>0</v>
      </c>
      <c r="N68" s="283">
        <f t="shared" si="6"/>
        <v>25.421252650278458</v>
      </c>
      <c r="O68" s="282">
        <v>446</v>
      </c>
    </row>
    <row r="69" spans="1:15" ht="14.45" x14ac:dyDescent="0.3">
      <c r="A69" s="279">
        <v>276</v>
      </c>
      <c r="B69" s="278" t="str">
        <f>'SU A0600'!$B$3</f>
        <v>Suspension &amp; Shocks</v>
      </c>
      <c r="C69" s="1178" t="str">
        <f>SU_09001</f>
        <v>SU 09001</v>
      </c>
      <c r="D69" s="276" t="s">
        <v>13</v>
      </c>
      <c r="E69" s="276" t="str">
        <f>$F$68</f>
        <v xml:space="preserve">Rear Tie rod  </v>
      </c>
      <c r="F69" s="281" t="str">
        <f>'SU 09001'!B5</f>
        <v>Tie rod tube</v>
      </c>
      <c r="G69" s="276"/>
      <c r="H69" s="275">
        <f t="shared" si="5"/>
        <v>0.31568709849411508</v>
      </c>
      <c r="I69" s="280">
        <f>SU_09001_q*SU_A0900_q</f>
        <v>2</v>
      </c>
      <c r="J69" s="273">
        <f>SU_09001_m</f>
        <v>9.0687098494115104E-2</v>
      </c>
      <c r="K69" s="273">
        <f>SU_09001_p</f>
        <v>0.22499999999999998</v>
      </c>
      <c r="L69" s="273">
        <v>0</v>
      </c>
      <c r="M69" s="273">
        <v>0</v>
      </c>
      <c r="N69" s="272">
        <f t="shared" si="6"/>
        <v>0.63137419698823016</v>
      </c>
      <c r="O69" s="271">
        <v>447</v>
      </c>
    </row>
    <row r="70" spans="1:15" ht="14.45" x14ac:dyDescent="0.3">
      <c r="A70" s="279">
        <v>277</v>
      </c>
      <c r="B70" s="278" t="str">
        <f>'SU A0800'!$B$3</f>
        <v>Suspension &amp; Shocks</v>
      </c>
      <c r="C70" s="1178" t="str">
        <f>SU_09002</f>
        <v>SU 09002</v>
      </c>
      <c r="D70" s="276" t="s">
        <v>13</v>
      </c>
      <c r="E70" s="276" t="str">
        <f>$F$68</f>
        <v xml:space="preserve">Rear Tie rod  </v>
      </c>
      <c r="F70" s="281" t="str">
        <f>'SU 09002'!B5</f>
        <v>Tie rod insert</v>
      </c>
      <c r="G70" s="276"/>
      <c r="H70" s="275">
        <f t="shared" si="5"/>
        <v>1.1510595579918244</v>
      </c>
      <c r="I70" s="274">
        <f>SU_09002_q*SU_A0900_q</f>
        <v>4</v>
      </c>
      <c r="J70" s="273">
        <f>SU_09002_m</f>
        <v>0.15730955799182431</v>
      </c>
      <c r="K70" s="273">
        <f>SU_09002_p</f>
        <v>0.99375000000000002</v>
      </c>
      <c r="L70" s="273">
        <v>0</v>
      </c>
      <c r="M70" s="273">
        <v>0</v>
      </c>
      <c r="N70" s="272">
        <f t="shared" si="6"/>
        <v>4.6042382319672974</v>
      </c>
      <c r="O70" s="271">
        <v>448</v>
      </c>
    </row>
    <row r="71" spans="1:15" ht="14.45" x14ac:dyDescent="0.3">
      <c r="A71" s="279">
        <v>278</v>
      </c>
      <c r="B71" s="278" t="str">
        <f>'SU A0800'!$B$3</f>
        <v>Suspension &amp; Shocks</v>
      </c>
      <c r="C71" s="1178" t="str">
        <f>SU_09003</f>
        <v>SU 09003</v>
      </c>
      <c r="D71" s="276" t="s">
        <v>13</v>
      </c>
      <c r="E71" s="276" t="str">
        <f>$F$68</f>
        <v xml:space="preserve">Rear Tie rod  </v>
      </c>
      <c r="F71" s="291" t="str">
        <f>'SU 09003'!B5</f>
        <v>Spacer 1</v>
      </c>
      <c r="G71" s="276"/>
      <c r="H71" s="275">
        <f t="shared" ref="H71:H91" si="8">SUM(J71:M71)</f>
        <v>0.23905539548753352</v>
      </c>
      <c r="I71" s="274">
        <f>SU_09003_q*SU_A0900_q</f>
        <v>4</v>
      </c>
      <c r="J71" s="273">
        <f>SU_09003_m</f>
        <v>5.6820101369886439E-2</v>
      </c>
      <c r="K71" s="273">
        <f>SU_09003_p</f>
        <v>0.18223529411764708</v>
      </c>
      <c r="L71" s="273">
        <v>0</v>
      </c>
      <c r="M71" s="273">
        <v>0</v>
      </c>
      <c r="N71" s="272">
        <f t="shared" ref="N71:N91" si="9">H71*I71</f>
        <v>0.95622158195013407</v>
      </c>
      <c r="O71" s="271">
        <v>450</v>
      </c>
    </row>
    <row r="72" spans="1:15" ht="14.45" x14ac:dyDescent="0.3">
      <c r="A72" s="279">
        <v>279</v>
      </c>
      <c r="B72" s="278" t="str">
        <f>'SU A0800'!$B$3</f>
        <v>Suspension &amp; Shocks</v>
      </c>
      <c r="C72" s="1178" t="str">
        <f>SU_09004</f>
        <v>SU 09004</v>
      </c>
      <c r="D72" s="276" t="s">
        <v>13</v>
      </c>
      <c r="E72" s="276" t="str">
        <f>$F$68</f>
        <v xml:space="preserve">Rear Tie rod  </v>
      </c>
      <c r="F72" s="291" t="str">
        <f>'SU 09004'!B5</f>
        <v>Spacer 2</v>
      </c>
      <c r="G72" s="276"/>
      <c r="H72" s="275">
        <f t="shared" si="8"/>
        <v>1.0636402027397729</v>
      </c>
      <c r="I72" s="274">
        <f>SU_09004_q*SU_A0900_q</f>
        <v>4</v>
      </c>
      <c r="J72" s="273">
        <f>SU_09004_m</f>
        <v>0.11364020273977288</v>
      </c>
      <c r="K72" s="273">
        <f>SU_09004_p</f>
        <v>0.95000000000000007</v>
      </c>
      <c r="L72" s="273">
        <v>0</v>
      </c>
      <c r="M72" s="273">
        <v>0</v>
      </c>
      <c r="N72" s="272">
        <f t="shared" si="9"/>
        <v>4.2545608109590916</v>
      </c>
      <c r="O72" s="271">
        <v>452</v>
      </c>
    </row>
    <row r="73" spans="1:15" ht="14.45" x14ac:dyDescent="0.3">
      <c r="A73" s="290">
        <v>280</v>
      </c>
      <c r="B73" s="289" t="str">
        <f>'SU A0600'!$B$3</f>
        <v>Suspension &amp; Shocks</v>
      </c>
      <c r="C73" s="287" t="str">
        <f>SU_A1000</f>
        <v>SU A1000</v>
      </c>
      <c r="D73" s="287" t="s">
        <v>13</v>
      </c>
      <c r="E73" s="287"/>
      <c r="F73" s="288" t="str">
        <f>'SU A1000'!B4</f>
        <v>Front Uprights</v>
      </c>
      <c r="G73" s="287"/>
      <c r="H73" s="286">
        <f t="shared" si="8"/>
        <v>16.481887142858277</v>
      </c>
      <c r="I73" s="285">
        <f>SU_A1000_q</f>
        <v>2</v>
      </c>
      <c r="J73" s="284">
        <v>0</v>
      </c>
      <c r="K73" s="284">
        <f>SU_A1000_p</f>
        <v>15.46</v>
      </c>
      <c r="L73" s="284">
        <f>SU_A1000_f</f>
        <v>1.0218871428582772</v>
      </c>
      <c r="M73" s="284">
        <v>0</v>
      </c>
      <c r="N73" s="283">
        <f t="shared" si="9"/>
        <v>32.963774285716553</v>
      </c>
      <c r="O73" s="282">
        <v>454</v>
      </c>
    </row>
    <row r="74" spans="1:15" ht="14.45" x14ac:dyDescent="0.3">
      <c r="A74" s="279">
        <v>281</v>
      </c>
      <c r="B74" s="278" t="str">
        <f>'SU A0600'!$B$3</f>
        <v>Suspension &amp; Shocks</v>
      </c>
      <c r="C74" s="1178" t="str">
        <f>SU_10001</f>
        <v>SU 10001</v>
      </c>
      <c r="D74" s="276" t="s">
        <v>13</v>
      </c>
      <c r="E74" s="276" t="str">
        <f>$F$73</f>
        <v>Front Uprights</v>
      </c>
      <c r="F74" s="281" t="str">
        <f>'SU 10001'!B5</f>
        <v>Front Upright</v>
      </c>
      <c r="G74" s="276"/>
      <c r="H74" s="275">
        <f t="shared" si="8"/>
        <v>106.18580800000001</v>
      </c>
      <c r="I74" s="280">
        <f>SU_10001_q*SU_A1000_q</f>
        <v>2</v>
      </c>
      <c r="J74" s="273">
        <f>SU_10001_m</f>
        <v>28.703808000000002</v>
      </c>
      <c r="K74" s="273">
        <f>SU_10001_p</f>
        <v>77.482000000000014</v>
      </c>
      <c r="L74" s="273">
        <v>0</v>
      </c>
      <c r="M74" s="273">
        <v>0</v>
      </c>
      <c r="N74" s="272">
        <f t="shared" si="9"/>
        <v>212.37161600000002</v>
      </c>
      <c r="O74" s="271">
        <v>455</v>
      </c>
    </row>
    <row r="75" spans="1:15" ht="14.45" x14ac:dyDescent="0.3">
      <c r="A75" s="279">
        <v>282</v>
      </c>
      <c r="B75" s="278" t="str">
        <f>'SU A0800'!$B$3</f>
        <v>Suspension &amp; Shocks</v>
      </c>
      <c r="C75" s="1178" t="str">
        <f>SU_10002</f>
        <v>SU 10002</v>
      </c>
      <c r="D75" s="276" t="s">
        <v>13</v>
      </c>
      <c r="E75" s="276" t="str">
        <f>$F$73</f>
        <v>Front Uprights</v>
      </c>
      <c r="F75" s="281" t="str">
        <f>'SU 10002'!B5</f>
        <v>Upper Arm Wedge</v>
      </c>
      <c r="G75" s="276"/>
      <c r="H75" s="275">
        <f t="shared" si="8"/>
        <v>2.5052785600000003</v>
      </c>
      <c r="I75" s="274">
        <f>SU_10002_q*SU_A1000_q</f>
        <v>2</v>
      </c>
      <c r="J75" s="273">
        <f>SU_10002_m</f>
        <v>0.21527856000000004</v>
      </c>
      <c r="K75" s="273">
        <f>SU_10002_p</f>
        <v>2.29</v>
      </c>
      <c r="L75" s="273">
        <v>0</v>
      </c>
      <c r="M75" s="273">
        <v>0</v>
      </c>
      <c r="N75" s="272">
        <f t="shared" si="9"/>
        <v>5.0105571200000005</v>
      </c>
      <c r="O75" s="271">
        <v>457</v>
      </c>
    </row>
    <row r="76" spans="1:15" ht="14.45" x14ac:dyDescent="0.3">
      <c r="A76" s="279">
        <v>283</v>
      </c>
      <c r="B76" s="278" t="str">
        <f>'SU A0800'!$B$3</f>
        <v>Suspension &amp; Shocks</v>
      </c>
      <c r="C76" s="1178" t="str">
        <f>SU_10003</f>
        <v>SU 10003</v>
      </c>
      <c r="D76" s="276" t="s">
        <v>13</v>
      </c>
      <c r="E76" s="276" t="str">
        <f>$F$73</f>
        <v>Front Uprights</v>
      </c>
      <c r="F76" s="295" t="str">
        <f>'SU 10003'!B5</f>
        <v>Upper Arm Bracket</v>
      </c>
      <c r="G76" s="276"/>
      <c r="H76" s="275">
        <f t="shared" si="8"/>
        <v>18.677843750000001</v>
      </c>
      <c r="I76" s="274">
        <f>SU_10003_q*SU_A1000_q</f>
        <v>2</v>
      </c>
      <c r="J76" s="273">
        <f>SU_10003_m</f>
        <v>2.7818437500000002</v>
      </c>
      <c r="K76" s="273">
        <f>SU_10003_p</f>
        <v>15.896000000000001</v>
      </c>
      <c r="L76" s="273">
        <v>0</v>
      </c>
      <c r="M76" s="273">
        <v>0</v>
      </c>
      <c r="N76" s="272">
        <f t="shared" si="9"/>
        <v>37.355687500000002</v>
      </c>
      <c r="O76" s="271">
        <v>459</v>
      </c>
    </row>
    <row r="77" spans="1:15" ht="14.45" x14ac:dyDescent="0.3">
      <c r="A77" s="279">
        <v>284</v>
      </c>
      <c r="B77" s="278" t="str">
        <f>'SU A0800'!$B$3</f>
        <v>Suspension &amp; Shocks</v>
      </c>
      <c r="C77" s="1178" t="str">
        <f>SU_10004</f>
        <v>SU 10004</v>
      </c>
      <c r="D77" s="276" t="s">
        <v>13</v>
      </c>
      <c r="E77" s="276" t="str">
        <f>$F$73</f>
        <v>Front Uprights</v>
      </c>
      <c r="F77" s="295" t="str">
        <f>'SU 10004'!B5</f>
        <v>Speed Sensor Bracket</v>
      </c>
      <c r="G77" s="276"/>
      <c r="H77" s="275">
        <f t="shared" si="8"/>
        <v>0.83572750000000007</v>
      </c>
      <c r="I77" s="274">
        <f>SU_10004_q*SU_A1000_q</f>
        <v>2</v>
      </c>
      <c r="J77" s="273">
        <f>SU_10004_m</f>
        <v>2.4727499999999999E-2</v>
      </c>
      <c r="K77" s="273">
        <f>SU_10004_p</f>
        <v>0.81100000000000005</v>
      </c>
      <c r="L77" s="273">
        <v>0</v>
      </c>
      <c r="M77" s="273">
        <v>0</v>
      </c>
      <c r="N77" s="272">
        <f t="shared" si="9"/>
        <v>1.6714550000000001</v>
      </c>
      <c r="O77" s="271">
        <v>461</v>
      </c>
    </row>
    <row r="78" spans="1:15" ht="14.45" x14ac:dyDescent="0.3">
      <c r="A78" s="279">
        <v>285</v>
      </c>
      <c r="B78" s="278" t="str">
        <f>'SU A0800'!$B$3</f>
        <v>Suspension &amp; Shocks</v>
      </c>
      <c r="C78" s="1178" t="str">
        <f>SU_10005</f>
        <v>SU 10005</v>
      </c>
      <c r="D78" s="276" t="s">
        <v>13</v>
      </c>
      <c r="E78" s="276" t="str">
        <f>$F$73</f>
        <v>Front Uprights</v>
      </c>
      <c r="F78" s="295" t="str">
        <f>'SU 10005'!B5</f>
        <v>Camber adjustment shim</v>
      </c>
      <c r="G78" s="276"/>
      <c r="H78" s="275">
        <f t="shared" si="8"/>
        <v>0.42691833333333334</v>
      </c>
      <c r="I78" s="274">
        <f>SU_10005_q*SU_A1000_q</f>
        <v>30</v>
      </c>
      <c r="J78" s="273">
        <f>SU_10005_m</f>
        <v>6.3585000000000003E-2</v>
      </c>
      <c r="K78" s="273">
        <f>SU_10005_p</f>
        <v>0.36333333333333334</v>
      </c>
      <c r="L78" s="273">
        <v>0</v>
      </c>
      <c r="M78" s="273">
        <v>0</v>
      </c>
      <c r="N78" s="272">
        <f t="shared" si="9"/>
        <v>12.807550000000001</v>
      </c>
      <c r="O78" s="271">
        <v>463</v>
      </c>
    </row>
    <row r="79" spans="1:15" ht="14.45" x14ac:dyDescent="0.3">
      <c r="A79" s="290">
        <v>286</v>
      </c>
      <c r="B79" s="289" t="str">
        <f>'SU A0600'!$B$3</f>
        <v>Suspension &amp; Shocks</v>
      </c>
      <c r="C79" s="287" t="str">
        <f>SU_A1100</f>
        <v>SU A1100</v>
      </c>
      <c r="D79" s="287" t="s">
        <v>13</v>
      </c>
      <c r="E79" s="287"/>
      <c r="F79" s="288" t="str">
        <f>'SU A1100 '!B4</f>
        <v>Rear Uprights</v>
      </c>
      <c r="G79" s="287"/>
      <c r="H79" s="286">
        <f t="shared" si="8"/>
        <v>17.410454335645525</v>
      </c>
      <c r="I79" s="285">
        <f>SU_A1100_q</f>
        <v>2</v>
      </c>
      <c r="J79" s="284">
        <v>0</v>
      </c>
      <c r="K79" s="284">
        <f>SU_A1100_p</f>
        <v>16.329999999999998</v>
      </c>
      <c r="L79" s="284">
        <f>SU_A1100_f</f>
        <v>1.0804543356455256</v>
      </c>
      <c r="M79" s="284">
        <v>0</v>
      </c>
      <c r="N79" s="283">
        <f t="shared" si="9"/>
        <v>34.82090867129105</v>
      </c>
      <c r="O79" s="282">
        <v>465</v>
      </c>
    </row>
    <row r="80" spans="1:15" ht="14.45" x14ac:dyDescent="0.3">
      <c r="A80" s="279">
        <v>287</v>
      </c>
      <c r="B80" s="278" t="str">
        <f>'SU A0600'!$B$3</f>
        <v>Suspension &amp; Shocks</v>
      </c>
      <c r="C80" s="1178" t="str">
        <f>SU_11001</f>
        <v>SU 11001</v>
      </c>
      <c r="D80" s="276" t="s">
        <v>13</v>
      </c>
      <c r="E80" s="276" t="str">
        <f>$F$79</f>
        <v>Rear Uprights</v>
      </c>
      <c r="F80" s="281" t="str">
        <f>'SU 11001'!B5</f>
        <v>Rear Upright</v>
      </c>
      <c r="G80" s="276"/>
      <c r="H80" s="275">
        <f t="shared" si="8"/>
        <v>106.51997000000001</v>
      </c>
      <c r="I80" s="280">
        <f>SU_11001_q*SU_A1100_q</f>
        <v>2</v>
      </c>
      <c r="J80" s="273">
        <f>SU_11001_m</f>
        <v>25.84197</v>
      </c>
      <c r="K80" s="273">
        <f>SU_11001_p</f>
        <v>80.678000000000011</v>
      </c>
      <c r="L80" s="273">
        <v>0</v>
      </c>
      <c r="M80" s="273">
        <v>0</v>
      </c>
      <c r="N80" s="272">
        <f t="shared" si="9"/>
        <v>213.03994000000003</v>
      </c>
      <c r="O80" s="271">
        <v>466</v>
      </c>
    </row>
    <row r="81" spans="1:15" ht="14.45" x14ac:dyDescent="0.3">
      <c r="A81" s="279">
        <v>288</v>
      </c>
      <c r="B81" s="278" t="str">
        <f>'SU A0800'!$B$3</f>
        <v>Suspension &amp; Shocks</v>
      </c>
      <c r="C81" s="1178" t="str">
        <f>SU_11002</f>
        <v>SU 11002</v>
      </c>
      <c r="D81" s="276" t="s">
        <v>13</v>
      </c>
      <c r="E81" s="276" t="str">
        <f>$F$79</f>
        <v>Rear Uprights</v>
      </c>
      <c r="F81" s="281" t="str">
        <f>'SU 11002'!B5</f>
        <v>Upper Arm Bracket</v>
      </c>
      <c r="G81" s="276"/>
      <c r="H81" s="275">
        <f t="shared" si="8"/>
        <v>21.194420000000001</v>
      </c>
      <c r="I81" s="274">
        <f>SU_11002_q*SU_A1100_q</f>
        <v>2</v>
      </c>
      <c r="J81" s="273">
        <f>SU_11002_m</f>
        <v>3.3064199999999997</v>
      </c>
      <c r="K81" s="273">
        <f>SU_11002_p</f>
        <v>17.888000000000002</v>
      </c>
      <c r="L81" s="273">
        <v>0</v>
      </c>
      <c r="M81" s="273">
        <v>0</v>
      </c>
      <c r="N81" s="272">
        <f t="shared" si="9"/>
        <v>42.388840000000002</v>
      </c>
      <c r="O81" s="271">
        <v>469</v>
      </c>
    </row>
    <row r="82" spans="1:15" ht="14.45" x14ac:dyDescent="0.3">
      <c r="A82" s="279">
        <v>289</v>
      </c>
      <c r="B82" s="278" t="str">
        <f>'SU A0800'!$B$3</f>
        <v>Suspension &amp; Shocks</v>
      </c>
      <c r="C82" s="1178" t="str">
        <f>SU_11003</f>
        <v>SU 11003</v>
      </c>
      <c r="D82" s="276" t="s">
        <v>13</v>
      </c>
      <c r="E82" s="276" t="str">
        <f>$F$79</f>
        <v>Rear Uprights</v>
      </c>
      <c r="F82" s="295" t="str">
        <f>'SU 11003'!B5</f>
        <v>Speed Sensor Bracket</v>
      </c>
      <c r="G82" s="276"/>
      <c r="H82" s="275">
        <f t="shared" si="8"/>
        <v>0.82576020000000006</v>
      </c>
      <c r="I82" s="274">
        <f>SU_11003_q*SU_A1100_q</f>
        <v>2</v>
      </c>
      <c r="J82" s="273">
        <f>SU_11003_m</f>
        <v>2.17602E-2</v>
      </c>
      <c r="K82" s="273">
        <f>SU_11003_p</f>
        <v>0.80400000000000005</v>
      </c>
      <c r="L82" s="273">
        <v>0</v>
      </c>
      <c r="M82" s="273">
        <v>0</v>
      </c>
      <c r="N82" s="272">
        <f t="shared" si="9"/>
        <v>1.6515204000000001</v>
      </c>
      <c r="O82" s="271">
        <v>471</v>
      </c>
    </row>
    <row r="83" spans="1:15" ht="14.45" x14ac:dyDescent="0.3">
      <c r="A83" s="279">
        <v>290</v>
      </c>
      <c r="B83" s="278" t="str">
        <f>'SU A0800'!$B$3</f>
        <v>Suspension &amp; Shocks</v>
      </c>
      <c r="C83" s="1178" t="str">
        <f>SU_11004</f>
        <v>SU 11004</v>
      </c>
      <c r="D83" s="276" t="s">
        <v>13</v>
      </c>
      <c r="E83" s="276" t="str">
        <f>$F$79</f>
        <v>Rear Uprights</v>
      </c>
      <c r="F83" s="295" t="str">
        <f>'SU 11004'!B5</f>
        <v>Camber adjustment shim</v>
      </c>
      <c r="G83" s="276"/>
      <c r="H83" s="275">
        <f t="shared" si="8"/>
        <v>0.42454853333333331</v>
      </c>
      <c r="I83" s="274">
        <f>SU_11004_q*SU_A1100_q</f>
        <v>30</v>
      </c>
      <c r="J83" s="273">
        <f>SU_11004_m</f>
        <v>7.1215199999999992E-2</v>
      </c>
      <c r="K83" s="273">
        <f>SU_11004_p</f>
        <v>0.35333333333333333</v>
      </c>
      <c r="L83" s="273">
        <v>0</v>
      </c>
      <c r="M83" s="273">
        <v>0</v>
      </c>
      <c r="N83" s="272">
        <f t="shared" si="9"/>
        <v>12.736455999999999</v>
      </c>
      <c r="O83" s="271">
        <v>473</v>
      </c>
    </row>
    <row r="84" spans="1:15" ht="14.45" x14ac:dyDescent="0.3">
      <c r="A84" s="290">
        <v>291</v>
      </c>
      <c r="B84" s="289" t="str">
        <f>'SU A0800'!$B$3</f>
        <v>Suspension &amp; Shocks</v>
      </c>
      <c r="C84" s="287" t="str">
        <f>SU_A1200</f>
        <v>SU A1200</v>
      </c>
      <c r="D84" s="287" t="s">
        <v>13</v>
      </c>
      <c r="E84" s="287"/>
      <c r="F84" s="288" t="str">
        <f>'SU A1200'!B4</f>
        <v>Front Pullrod</v>
      </c>
      <c r="G84" s="287"/>
      <c r="H84" s="286">
        <f t="shared" si="8"/>
        <v>10.638292991805894</v>
      </c>
      <c r="I84" s="285">
        <f>SU_A1200_q</f>
        <v>2</v>
      </c>
      <c r="J84" s="284">
        <f>SU_A1200_m</f>
        <v>5.27</v>
      </c>
      <c r="K84" s="284">
        <f>SU_A1200_p</f>
        <v>4.14175</v>
      </c>
      <c r="L84" s="284">
        <f>SU_A1200_f</f>
        <v>0.55987632513922869</v>
      </c>
      <c r="M84" s="284">
        <f>SU_A1200_t</f>
        <v>0.66666666666666663</v>
      </c>
      <c r="N84" s="283">
        <f t="shared" si="9"/>
        <v>21.276585983611788</v>
      </c>
      <c r="O84" s="282">
        <v>475</v>
      </c>
    </row>
    <row r="85" spans="1:15" ht="14.45" x14ac:dyDescent="0.3">
      <c r="A85" s="279">
        <v>292</v>
      </c>
      <c r="B85" s="278" t="str">
        <f>'SU A0800'!$B$3</f>
        <v>Suspension &amp; Shocks</v>
      </c>
      <c r="C85" s="1178" t="str">
        <f>SU_12001</f>
        <v>SU 12001</v>
      </c>
      <c r="D85" s="276" t="s">
        <v>13</v>
      </c>
      <c r="E85" s="276" t="str">
        <f>$F$84</f>
        <v>Front Pullrod</v>
      </c>
      <c r="F85" s="281" t="str">
        <f>'SU 12001'!B5</f>
        <v>Pullrod insert</v>
      </c>
      <c r="G85" s="276"/>
      <c r="H85" s="275">
        <f t="shared" si="8"/>
        <v>1.446357098494115</v>
      </c>
      <c r="I85" s="280">
        <f>SU_12001_q*SU_A1200_q</f>
        <v>4</v>
      </c>
      <c r="J85" s="273">
        <f>SU_12001_m</f>
        <v>9.0687098494115104E-2</v>
      </c>
      <c r="K85" s="273">
        <f>SU_12001_p</f>
        <v>1.3556699999999999</v>
      </c>
      <c r="L85" s="273">
        <v>0</v>
      </c>
      <c r="M85" s="273">
        <v>0</v>
      </c>
      <c r="N85" s="272">
        <f t="shared" si="9"/>
        <v>5.7854283939764599</v>
      </c>
      <c r="O85" s="271">
        <v>476</v>
      </c>
    </row>
    <row r="86" spans="1:15" ht="14.45" x14ac:dyDescent="0.3">
      <c r="A86" s="279">
        <v>293</v>
      </c>
      <c r="B86" s="278" t="str">
        <f>'SU A0800'!$B$3</f>
        <v>Suspension &amp; Shocks</v>
      </c>
      <c r="C86" s="1178" t="str">
        <f>SU_12002</f>
        <v>SU 12002</v>
      </c>
      <c r="D86" s="276" t="s">
        <v>13</v>
      </c>
      <c r="E86" s="276" t="str">
        <f>$F$84</f>
        <v>Front Pullrod</v>
      </c>
      <c r="F86" s="281" t="str">
        <f>'SU 12002'!B5</f>
        <v>Pullrod tube</v>
      </c>
      <c r="G86" s="276"/>
      <c r="H86" s="275">
        <f t="shared" si="8"/>
        <v>0.38230955799182426</v>
      </c>
      <c r="I86" s="274">
        <f>SU_12002_q*SU_A1200_q</f>
        <v>2</v>
      </c>
      <c r="J86" s="273">
        <f>SU_12002_m</f>
        <v>0.15730955799182428</v>
      </c>
      <c r="K86" s="273">
        <f>SU_12002_p</f>
        <v>0.22499999999999998</v>
      </c>
      <c r="L86" s="273">
        <v>0</v>
      </c>
      <c r="M86" s="273">
        <v>0</v>
      </c>
      <c r="N86" s="272">
        <f t="shared" si="9"/>
        <v>0.76461911598364851</v>
      </c>
      <c r="O86" s="271">
        <v>477</v>
      </c>
    </row>
    <row r="87" spans="1:15" ht="14.45" x14ac:dyDescent="0.3">
      <c r="A87" s="294">
        <v>294</v>
      </c>
      <c r="B87" s="278" t="str">
        <f>'SU A0800'!$B$3</f>
        <v>Suspension &amp; Shocks</v>
      </c>
      <c r="C87" s="1178" t="str">
        <f>SU_12003</f>
        <v>SU 12003</v>
      </c>
      <c r="D87" s="292" t="s">
        <v>13</v>
      </c>
      <c r="E87" s="276" t="str">
        <f>$F$84</f>
        <v>Front Pullrod</v>
      </c>
      <c r="F87" s="291" t="str">
        <f>'SU 12003'!B5</f>
        <v>Spacer 1</v>
      </c>
      <c r="G87" s="292"/>
      <c r="H87" s="275">
        <f t="shared" si="8"/>
        <v>0.34825628167808953</v>
      </c>
      <c r="I87" s="274">
        <f>SU_12003_q*SU_A1200_q</f>
        <v>4</v>
      </c>
      <c r="J87" s="273">
        <f>SU_12003_m</f>
        <v>1.7756281678089514E-2</v>
      </c>
      <c r="K87" s="273">
        <f>SU_12003_p</f>
        <v>0.33050000000000002</v>
      </c>
      <c r="L87" s="273">
        <v>0</v>
      </c>
      <c r="M87" s="273">
        <v>0</v>
      </c>
      <c r="N87" s="272">
        <f t="shared" si="9"/>
        <v>1.3930251267123581</v>
      </c>
      <c r="O87" s="293">
        <v>479</v>
      </c>
    </row>
    <row r="88" spans="1:15" ht="14.45" x14ac:dyDescent="0.3">
      <c r="A88" s="279">
        <v>295</v>
      </c>
      <c r="B88" s="278" t="str">
        <f>'SU A0800'!$B$3</f>
        <v>Suspension &amp; Shocks</v>
      </c>
      <c r="C88" s="1178" t="str">
        <f>SU_12004</f>
        <v>SU 12004</v>
      </c>
      <c r="D88" s="292" t="s">
        <v>13</v>
      </c>
      <c r="E88" s="276" t="str">
        <f>$F$84</f>
        <v>Front Pullrod</v>
      </c>
      <c r="F88" s="291" t="str">
        <f>'SU 12004'!B5</f>
        <v>Spacer 2</v>
      </c>
      <c r="G88" s="276"/>
      <c r="H88" s="275">
        <f t="shared" si="8"/>
        <v>0.36380753801370747</v>
      </c>
      <c r="I88" s="274">
        <f>SU_12004_q*SU_A1200_q</f>
        <v>4</v>
      </c>
      <c r="J88" s="273">
        <f>SU_12004_M</f>
        <v>2.1307538013707415E-2</v>
      </c>
      <c r="K88" s="273">
        <f>SU_12004_P</f>
        <v>0.34250000000000003</v>
      </c>
      <c r="L88" s="273">
        <v>0</v>
      </c>
      <c r="M88" s="273">
        <v>0</v>
      </c>
      <c r="N88" s="272">
        <f t="shared" si="9"/>
        <v>1.4552301520548299</v>
      </c>
      <c r="O88" s="271">
        <v>481</v>
      </c>
    </row>
    <row r="89" spans="1:15" ht="14.45" x14ac:dyDescent="0.3">
      <c r="A89" s="290">
        <v>296</v>
      </c>
      <c r="B89" s="289" t="str">
        <f>'SU A0800'!$B$3</f>
        <v>Suspension &amp; Shocks</v>
      </c>
      <c r="C89" s="287" t="str">
        <f>SU_A1300</f>
        <v>SU A1300</v>
      </c>
      <c r="D89" s="287" t="s">
        <v>13</v>
      </c>
      <c r="E89" s="287"/>
      <c r="F89" s="288" t="str">
        <f>'SU A1300'!B4</f>
        <v>Rear Pushrod</v>
      </c>
      <c r="G89" s="287"/>
      <c r="H89" s="286">
        <f t="shared" si="8"/>
        <v>9.455417981015044</v>
      </c>
      <c r="I89" s="285">
        <f>SU_A1300_q</f>
        <v>2</v>
      </c>
      <c r="J89" s="284">
        <f>SU_A1300_m</f>
        <v>5</v>
      </c>
      <c r="K89" s="284">
        <f>SU_A1300_p</f>
        <v>3.9700000000000006</v>
      </c>
      <c r="L89" s="284">
        <f>SU_A1300_f</f>
        <v>0.48541798101504374</v>
      </c>
      <c r="M89" s="284">
        <v>0</v>
      </c>
      <c r="N89" s="283">
        <f t="shared" si="9"/>
        <v>18.910835962030088</v>
      </c>
      <c r="O89" s="282">
        <v>483</v>
      </c>
    </row>
    <row r="90" spans="1:15" ht="14.45" x14ac:dyDescent="0.3">
      <c r="A90" s="279">
        <v>297</v>
      </c>
      <c r="B90" s="278" t="str">
        <f>'SU A0800'!$B$3</f>
        <v>Suspension &amp; Shocks</v>
      </c>
      <c r="C90" s="1178" t="str">
        <f>SU_13001</f>
        <v>SU 13001</v>
      </c>
      <c r="D90" s="276" t="s">
        <v>13</v>
      </c>
      <c r="E90" s="276" t="s">
        <v>174</v>
      </c>
      <c r="F90" s="281" t="str">
        <f>'SU 13001'!B5</f>
        <v>Steel cylinder for pushrod</v>
      </c>
      <c r="G90" s="276"/>
      <c r="H90" s="275">
        <f t="shared" si="8"/>
        <v>1.4513899941560895</v>
      </c>
      <c r="I90" s="280">
        <f>SU_13001_q*SU_A1300_q</f>
        <v>2</v>
      </c>
      <c r="J90" s="273">
        <f>SU_13001_m</f>
        <v>0.10138999415608932</v>
      </c>
      <c r="K90" s="273">
        <f>SU_13001_p</f>
        <v>1.35</v>
      </c>
      <c r="L90" s="273">
        <v>0</v>
      </c>
      <c r="M90" s="273">
        <v>0</v>
      </c>
      <c r="N90" s="272">
        <f t="shared" si="9"/>
        <v>2.902779988312179</v>
      </c>
      <c r="O90" s="271">
        <v>484</v>
      </c>
    </row>
    <row r="91" spans="1:15" ht="15" thickBot="1" x14ac:dyDescent="0.35">
      <c r="A91" s="279">
        <v>298</v>
      </c>
      <c r="B91" s="278" t="str">
        <f>'[5]SU A1300'!$B$3</f>
        <v>Suspension &amp; Shocks</v>
      </c>
      <c r="C91" s="1178" t="str">
        <f>SU_13002</f>
        <v>SU 13002</v>
      </c>
      <c r="D91" s="276" t="s">
        <v>13</v>
      </c>
      <c r="E91" s="276" t="s">
        <v>174</v>
      </c>
      <c r="F91" s="277" t="str">
        <f>'SU 13002'!B5</f>
        <v>Spacer</v>
      </c>
      <c r="G91" s="276"/>
      <c r="H91" s="275">
        <f t="shared" si="8"/>
        <v>0.36380753801370747</v>
      </c>
      <c r="I91" s="274">
        <f>SU_13002_q*SU_A1300_q</f>
        <v>8</v>
      </c>
      <c r="J91" s="273">
        <f>SU_13002_m</f>
        <v>2.1307538013707415E-2</v>
      </c>
      <c r="K91" s="273">
        <f>SU_13002_p</f>
        <v>0.34250000000000003</v>
      </c>
      <c r="L91" s="273">
        <v>0</v>
      </c>
      <c r="M91" s="273">
        <v>0</v>
      </c>
      <c r="N91" s="272">
        <f t="shared" si="9"/>
        <v>2.9104603041096597</v>
      </c>
      <c r="O91" s="271">
        <v>486</v>
      </c>
    </row>
    <row r="92" spans="1:15" s="40" customFormat="1" ht="15.75" thickTop="1" thickBot="1" x14ac:dyDescent="0.25">
      <c r="A92" s="33">
        <v>299</v>
      </c>
      <c r="B92" s="34" t="str">
        <f>[6]SU_A0200!B3</f>
        <v>Suspension &amp; Shocks</v>
      </c>
      <c r="C92" s="35"/>
      <c r="D92" s="35"/>
      <c r="E92" s="35"/>
      <c r="F92" s="34" t="s">
        <v>65</v>
      </c>
      <c r="G92" s="35"/>
      <c r="H92" s="36"/>
      <c r="I92" s="37"/>
      <c r="J92" s="38">
        <f>SUMPRODUCT($I7:$I91,J7:J91)</f>
        <v>1313.6923973842527</v>
      </c>
      <c r="K92" s="38">
        <f>SUMPRODUCT($I7:$I91,K7:K91)</f>
        <v>917.17885759529429</v>
      </c>
      <c r="L92" s="38">
        <f>SUMPRODUCT($I7:$I91,L7:L91)</f>
        <v>12.989022349903678</v>
      </c>
      <c r="M92" s="38">
        <f>SUMPRODUCT($I7:$I91,M7:M91)</f>
        <v>15.999999999999998</v>
      </c>
      <c r="N92" s="38">
        <f>SUM(N7:N91)</f>
        <v>2259.8602773294501</v>
      </c>
      <c r="O92" s="39"/>
    </row>
    <row r="93" spans="1:15" s="40" customFormat="1" ht="15" thickTop="1" x14ac:dyDescent="0.2">
      <c r="A93" s="1179"/>
      <c r="B93" s="189"/>
      <c r="C93" s="1180"/>
      <c r="D93" s="1180"/>
      <c r="E93" s="1180"/>
      <c r="F93" s="189"/>
      <c r="G93" s="1180"/>
      <c r="H93" s="1181"/>
      <c r="I93" s="234"/>
      <c r="J93" s="1182"/>
      <c r="K93" s="1182"/>
      <c r="L93" s="1182"/>
      <c r="M93" s="1182"/>
      <c r="N93" s="1182"/>
      <c r="O93" s="1183"/>
    </row>
    <row r="94" spans="1:15" x14ac:dyDescent="0.2">
      <c r="A94" s="41"/>
      <c r="B94" s="8"/>
      <c r="C94" s="13"/>
      <c r="D94" s="13"/>
      <c r="E94" s="13"/>
      <c r="F94" s="13"/>
      <c r="G94" s="13"/>
      <c r="H94" s="42"/>
      <c r="I94" s="13"/>
      <c r="J94" s="13"/>
      <c r="K94" s="13"/>
      <c r="L94" s="13"/>
      <c r="M94" s="13"/>
      <c r="N94" s="13"/>
    </row>
    <row r="95" spans="1:15" x14ac:dyDescent="0.2">
      <c r="A95" s="41"/>
      <c r="B95" s="8"/>
      <c r="C95" s="13"/>
      <c r="D95" s="13"/>
      <c r="E95" s="13"/>
      <c r="F95" s="13"/>
      <c r="G95" s="13"/>
      <c r="H95" s="42"/>
      <c r="I95" s="13"/>
      <c r="J95" s="13"/>
      <c r="K95" s="13"/>
      <c r="L95" s="1217">
        <f>SUM(N84:N88)</f>
        <v>30.674888772339088</v>
      </c>
      <c r="M95" s="13"/>
      <c r="N95" s="13"/>
    </row>
    <row r="96" spans="1:15" x14ac:dyDescent="0.2">
      <c r="A96" s="41"/>
      <c r="B96" s="41"/>
      <c r="D96" s="13"/>
      <c r="E96" s="13"/>
      <c r="F96" s="1220">
        <f>2817.33-N92</f>
        <v>557.4697226705498</v>
      </c>
      <c r="G96" s="13"/>
      <c r="H96" s="13"/>
      <c r="I96" s="42"/>
      <c r="J96" s="42"/>
      <c r="K96" s="42"/>
      <c r="L96" s="42"/>
      <c r="M96" s="42"/>
      <c r="N96" s="13"/>
    </row>
    <row r="97" spans="1:14" x14ac:dyDescent="0.2">
      <c r="A97" s="41"/>
      <c r="B97" s="41"/>
      <c r="D97" s="13"/>
      <c r="E97" s="13"/>
      <c r="F97" s="8">
        <f>2817.33*0.2</f>
        <v>563.46600000000001</v>
      </c>
      <c r="G97" s="13"/>
      <c r="H97" s="13"/>
      <c r="I97" s="42"/>
      <c r="J97" s="42"/>
      <c r="K97" s="42"/>
      <c r="L97" s="42"/>
      <c r="M97" s="42"/>
      <c r="N97" s="43"/>
    </row>
    <row r="98" spans="1:14" x14ac:dyDescent="0.2">
      <c r="A98" s="41"/>
      <c r="B98" s="41"/>
      <c r="D98" s="13"/>
      <c r="E98" s="13" t="s">
        <v>557</v>
      </c>
      <c r="F98" s="1220">
        <f>F97-F96</f>
        <v>5.9962773294502085</v>
      </c>
      <c r="G98" s="13"/>
      <c r="H98" s="13"/>
      <c r="I98" s="42"/>
      <c r="J98" s="42"/>
      <c r="K98" s="42"/>
      <c r="L98" s="42"/>
      <c r="M98" s="42"/>
      <c r="N98" s="13"/>
    </row>
    <row r="99" spans="1:14" x14ac:dyDescent="0.2">
      <c r="A99" s="41"/>
      <c r="B99" s="41"/>
      <c r="D99" s="13"/>
      <c r="E99" s="13" t="s">
        <v>558</v>
      </c>
      <c r="F99" s="1221">
        <f>F98/2817*100</f>
        <v>0.21286039508165455</v>
      </c>
      <c r="G99" s="13"/>
      <c r="H99" s="13"/>
      <c r="I99" s="42"/>
      <c r="J99" s="42"/>
      <c r="K99" s="42"/>
      <c r="L99" s="42"/>
      <c r="M99" s="42"/>
      <c r="N99" s="43"/>
    </row>
    <row r="100" spans="1:14" x14ac:dyDescent="0.2">
      <c r="A100" s="41"/>
      <c r="B100" s="41"/>
      <c r="D100" s="13"/>
      <c r="E100" s="13"/>
      <c r="F100" s="1220">
        <f>100-2263.88/2817.33*100</f>
        <v>19.644486091441181</v>
      </c>
      <c r="G100" s="13"/>
      <c r="H100" s="13"/>
      <c r="I100" s="42"/>
      <c r="J100" s="42"/>
      <c r="K100" s="42"/>
      <c r="L100" s="42"/>
      <c r="M100" s="42"/>
      <c r="N100" s="13"/>
    </row>
    <row r="101" spans="1:14" x14ac:dyDescent="0.2">
      <c r="A101" s="41"/>
      <c r="B101" s="41"/>
      <c r="D101" s="13"/>
      <c r="E101" s="13"/>
      <c r="G101" s="13"/>
      <c r="H101" s="13"/>
      <c r="I101" s="42"/>
      <c r="J101" s="42"/>
      <c r="K101" s="42"/>
      <c r="L101" s="42"/>
      <c r="M101" s="42"/>
      <c r="N101" s="13"/>
    </row>
    <row r="102" spans="1:14" x14ac:dyDescent="0.2">
      <c r="A102" s="41"/>
      <c r="B102" s="41"/>
      <c r="D102" s="13"/>
      <c r="E102" s="13"/>
      <c r="G102" s="13"/>
      <c r="H102" s="13"/>
      <c r="I102" s="42"/>
      <c r="J102" s="42"/>
      <c r="K102" s="42"/>
      <c r="L102" s="42"/>
      <c r="M102" s="42"/>
      <c r="N102" s="13"/>
    </row>
    <row r="103" spans="1:14" x14ac:dyDescent="0.2">
      <c r="A103" s="41"/>
      <c r="B103" s="41"/>
      <c r="D103" s="13"/>
      <c r="E103" s="13"/>
      <c r="G103" s="13"/>
      <c r="H103" s="13"/>
      <c r="I103" s="42"/>
      <c r="J103" s="42"/>
      <c r="K103" s="42"/>
      <c r="L103" s="42"/>
      <c r="M103" s="42"/>
      <c r="N103" s="13"/>
    </row>
    <row r="104" spans="1:14" x14ac:dyDescent="0.2">
      <c r="A104" s="41"/>
      <c r="B104" s="41"/>
      <c r="D104" s="13"/>
      <c r="E104" s="13"/>
      <c r="G104" s="13"/>
      <c r="H104" s="13"/>
      <c r="I104" s="42"/>
      <c r="J104" s="42"/>
      <c r="K104" s="42"/>
      <c r="L104" s="42"/>
      <c r="M104" s="42"/>
      <c r="N104" s="13"/>
    </row>
    <row r="105" spans="1:14" x14ac:dyDescent="0.2">
      <c r="A105" s="41"/>
      <c r="B105" s="41"/>
      <c r="D105" s="13"/>
      <c r="E105" s="13"/>
      <c r="G105" s="13"/>
      <c r="H105" s="13"/>
      <c r="I105" s="42"/>
      <c r="J105" s="42"/>
      <c r="K105" s="42"/>
      <c r="L105" s="42"/>
      <c r="M105" s="42"/>
      <c r="N105" s="13"/>
    </row>
    <row r="106" spans="1:14" x14ac:dyDescent="0.2">
      <c r="A106" s="41"/>
      <c r="B106" s="41"/>
      <c r="D106" s="13"/>
      <c r="E106" s="13"/>
      <c r="G106" s="13"/>
      <c r="H106" s="13"/>
      <c r="I106" s="42"/>
      <c r="J106" s="42"/>
      <c r="K106" s="42"/>
      <c r="L106" s="42"/>
      <c r="M106" s="42"/>
      <c r="N106" s="13"/>
    </row>
    <row r="107" spans="1:14" x14ac:dyDescent="0.2">
      <c r="A107" s="41"/>
      <c r="B107" s="41"/>
      <c r="D107" s="13"/>
      <c r="E107" s="13"/>
      <c r="G107" s="13"/>
      <c r="H107" s="13"/>
      <c r="I107" s="42"/>
      <c r="J107" s="42"/>
      <c r="K107" s="42"/>
      <c r="L107" s="42"/>
      <c r="M107" s="42"/>
      <c r="N107" s="13"/>
    </row>
    <row r="108" spans="1:14" x14ac:dyDescent="0.2">
      <c r="A108" s="41"/>
      <c r="B108" s="41"/>
      <c r="D108" s="13"/>
      <c r="E108" s="13"/>
      <c r="G108" s="13"/>
      <c r="H108" s="13"/>
      <c r="I108" s="42"/>
      <c r="J108" s="42"/>
      <c r="K108" s="42"/>
      <c r="L108" s="42"/>
      <c r="M108" s="42"/>
      <c r="N108" s="13"/>
    </row>
    <row r="109" spans="1:14" x14ac:dyDescent="0.2">
      <c r="A109" s="41"/>
      <c r="B109" s="41"/>
      <c r="D109" s="13"/>
      <c r="E109" s="13"/>
      <c r="G109" s="13"/>
      <c r="H109" s="13"/>
      <c r="I109" s="42"/>
      <c r="J109" s="42"/>
      <c r="K109" s="42"/>
      <c r="L109" s="42"/>
      <c r="M109" s="42"/>
      <c r="N109" s="13"/>
    </row>
    <row r="110" spans="1:14" x14ac:dyDescent="0.2">
      <c r="A110" s="41"/>
      <c r="B110" s="41"/>
      <c r="D110" s="13"/>
      <c r="E110" s="13"/>
      <c r="G110" s="13"/>
      <c r="H110" s="13"/>
      <c r="I110" s="42"/>
      <c r="J110" s="42"/>
      <c r="K110" s="42"/>
      <c r="L110" s="42"/>
      <c r="M110" s="42"/>
      <c r="N110" s="13"/>
    </row>
    <row r="111" spans="1:14" x14ac:dyDescent="0.2">
      <c r="A111" s="41"/>
      <c r="B111" s="41"/>
      <c r="D111" s="13"/>
      <c r="E111" s="13"/>
      <c r="G111" s="13"/>
      <c r="H111" s="13"/>
      <c r="I111" s="42"/>
      <c r="J111" s="42"/>
      <c r="K111" s="42"/>
      <c r="L111" s="42"/>
      <c r="M111" s="42"/>
      <c r="N111" s="13"/>
    </row>
    <row r="112" spans="1:14" x14ac:dyDescent="0.2">
      <c r="A112" s="41"/>
      <c r="B112" s="41"/>
      <c r="D112" s="13"/>
      <c r="E112" s="13"/>
      <c r="G112" s="13"/>
      <c r="H112" s="13"/>
      <c r="I112" s="42"/>
      <c r="J112" s="42"/>
      <c r="K112" s="42"/>
      <c r="L112" s="42"/>
      <c r="M112" s="42"/>
      <c r="N112" s="13"/>
    </row>
    <row r="113" spans="1:15" x14ac:dyDescent="0.2">
      <c r="A113" s="41"/>
      <c r="B113" s="41"/>
      <c r="D113" s="13"/>
      <c r="E113" s="13"/>
      <c r="G113" s="13"/>
      <c r="H113" s="13"/>
      <c r="I113" s="42"/>
      <c r="J113" s="42"/>
      <c r="K113" s="42"/>
      <c r="L113" s="42"/>
      <c r="M113" s="42"/>
      <c r="N113" s="13"/>
    </row>
    <row r="114" spans="1:15" x14ac:dyDescent="0.2">
      <c r="A114" s="41"/>
      <c r="B114" s="41"/>
      <c r="D114" s="13"/>
      <c r="E114" s="13"/>
      <c r="G114" s="13"/>
      <c r="H114" s="13"/>
      <c r="I114" s="42"/>
      <c r="J114" s="42"/>
      <c r="K114" s="42"/>
      <c r="L114" s="42"/>
      <c r="M114" s="42"/>
      <c r="N114" s="13"/>
    </row>
    <row r="115" spans="1:15" x14ac:dyDescent="0.2">
      <c r="A115" s="41"/>
      <c r="B115" s="41"/>
      <c r="D115" s="13"/>
      <c r="E115" s="13"/>
      <c r="G115" s="13"/>
      <c r="H115" s="13"/>
      <c r="I115" s="42"/>
      <c r="J115" s="42"/>
      <c r="K115" s="42"/>
      <c r="L115" s="42"/>
      <c r="M115" s="42"/>
      <c r="N115" s="13"/>
    </row>
    <row r="116" spans="1:15" x14ac:dyDescent="0.2">
      <c r="A116" s="41"/>
      <c r="B116" s="41"/>
      <c r="D116" s="13"/>
      <c r="E116" s="13"/>
      <c r="G116" s="13"/>
      <c r="H116" s="13"/>
      <c r="I116" s="42"/>
      <c r="J116" s="42"/>
      <c r="K116" s="42"/>
      <c r="L116" s="42"/>
      <c r="M116" s="42"/>
      <c r="N116" s="13"/>
    </row>
    <row r="117" spans="1:15" x14ac:dyDescent="0.2">
      <c r="A117" s="41"/>
      <c r="B117" s="41"/>
      <c r="D117" s="13"/>
      <c r="E117" s="13"/>
      <c r="G117" s="13"/>
      <c r="H117" s="13"/>
      <c r="I117" s="42"/>
      <c r="J117" s="42"/>
      <c r="K117" s="42"/>
      <c r="L117" s="42"/>
      <c r="M117" s="42"/>
      <c r="N117" s="13"/>
    </row>
    <row r="118" spans="1:15" x14ac:dyDescent="0.2">
      <c r="A118" s="41"/>
      <c r="B118" s="41"/>
      <c r="D118" s="13"/>
      <c r="E118" s="13"/>
      <c r="G118" s="13"/>
      <c r="H118" s="13"/>
      <c r="I118" s="42"/>
      <c r="J118" s="42"/>
      <c r="K118" s="42"/>
      <c r="L118" s="42"/>
      <c r="M118" s="42"/>
      <c r="N118" s="13"/>
    </row>
    <row r="119" spans="1:15" x14ac:dyDescent="0.2">
      <c r="A119" s="41"/>
      <c r="B119" s="41"/>
      <c r="D119" s="13"/>
      <c r="E119" s="13"/>
      <c r="G119" s="13"/>
      <c r="H119" s="13"/>
      <c r="I119" s="42"/>
      <c r="J119" s="42"/>
      <c r="K119" s="42"/>
      <c r="L119" s="42"/>
      <c r="M119" s="42"/>
      <c r="N119" s="13"/>
    </row>
    <row r="120" spans="1:15" s="6" customFormat="1" x14ac:dyDescent="0.2">
      <c r="A120" s="41"/>
      <c r="B120" s="41"/>
      <c r="D120" s="13"/>
      <c r="E120" s="13"/>
      <c r="F120" s="8"/>
      <c r="G120" s="13"/>
      <c r="H120" s="13"/>
      <c r="I120" s="42"/>
      <c r="J120" s="42"/>
      <c r="K120" s="42"/>
      <c r="L120" s="42"/>
      <c r="M120" s="42"/>
      <c r="N120" s="13"/>
      <c r="O120" s="13"/>
    </row>
    <row r="121" spans="1:15" s="6" customFormat="1" x14ac:dyDescent="0.2">
      <c r="A121" s="41"/>
      <c r="B121" s="41"/>
      <c r="D121" s="13"/>
      <c r="E121" s="13"/>
      <c r="F121" s="8"/>
      <c r="G121" s="13"/>
      <c r="H121" s="13"/>
      <c r="I121" s="42"/>
      <c r="J121" s="42"/>
      <c r="K121" s="42"/>
      <c r="L121" s="42"/>
      <c r="M121" s="42"/>
      <c r="N121" s="13"/>
      <c r="O121" s="13"/>
    </row>
    <row r="122" spans="1:15" s="6" customFormat="1" x14ac:dyDescent="0.2">
      <c r="A122" s="41"/>
      <c r="B122" s="41"/>
      <c r="D122" s="13"/>
      <c r="E122" s="13"/>
      <c r="F122" s="8"/>
      <c r="G122" s="13"/>
      <c r="H122" s="13"/>
      <c r="I122" s="42"/>
      <c r="J122" s="42"/>
      <c r="K122" s="42"/>
      <c r="L122" s="42"/>
      <c r="M122" s="42"/>
      <c r="N122" s="13"/>
      <c r="O122" s="13"/>
    </row>
    <row r="123" spans="1:15" s="6" customFormat="1" x14ac:dyDescent="0.2">
      <c r="A123" s="41"/>
      <c r="B123" s="41"/>
      <c r="D123" s="13"/>
      <c r="E123" s="13"/>
      <c r="F123" s="8"/>
      <c r="G123" s="13"/>
      <c r="H123" s="13"/>
      <c r="I123" s="42"/>
      <c r="J123" s="42"/>
      <c r="K123" s="42"/>
      <c r="L123" s="42"/>
      <c r="M123" s="42"/>
      <c r="N123" s="13"/>
      <c r="O123" s="13"/>
    </row>
    <row r="124" spans="1:15" s="6" customFormat="1" x14ac:dyDescent="0.2">
      <c r="A124" s="44"/>
      <c r="B124" s="41"/>
      <c r="F124" s="8"/>
      <c r="I124" s="9"/>
      <c r="J124" s="9"/>
      <c r="K124" s="9"/>
      <c r="L124" s="9"/>
      <c r="M124" s="9"/>
    </row>
    <row r="125" spans="1:15" s="6" customFormat="1" x14ac:dyDescent="0.2">
      <c r="A125" s="44"/>
      <c r="B125" s="41"/>
      <c r="F125" s="8"/>
      <c r="I125" s="9"/>
      <c r="J125" s="9"/>
      <c r="K125" s="9"/>
      <c r="L125" s="9"/>
      <c r="M125" s="9"/>
    </row>
    <row r="126" spans="1:15" s="6" customFormat="1" x14ac:dyDescent="0.2">
      <c r="A126" s="44"/>
      <c r="B126" s="41"/>
      <c r="F126" s="8"/>
      <c r="I126" s="9"/>
      <c r="J126" s="9"/>
      <c r="K126" s="9"/>
      <c r="L126" s="9"/>
      <c r="M126" s="9"/>
    </row>
    <row r="127" spans="1:15" s="6" customFormat="1" x14ac:dyDescent="0.2">
      <c r="A127" s="44"/>
      <c r="B127" s="41"/>
      <c r="F127" s="8"/>
      <c r="I127" s="9"/>
      <c r="J127" s="9"/>
      <c r="K127" s="9"/>
      <c r="L127" s="9"/>
      <c r="M127" s="9"/>
    </row>
    <row r="128" spans="1:15" s="6" customFormat="1" x14ac:dyDescent="0.2">
      <c r="A128" s="44"/>
      <c r="B128" s="41"/>
      <c r="F128" s="8"/>
      <c r="I128" s="9"/>
      <c r="J128" s="9"/>
      <c r="K128" s="9"/>
      <c r="L128" s="9"/>
      <c r="M128" s="9"/>
    </row>
    <row r="129" spans="1:15" s="6" customFormat="1" x14ac:dyDescent="0.2">
      <c r="A129" s="44"/>
      <c r="B129" s="41"/>
      <c r="F129" s="8"/>
      <c r="I129" s="9"/>
      <c r="J129" s="9"/>
      <c r="K129" s="9"/>
      <c r="L129" s="9"/>
      <c r="M129" s="9"/>
    </row>
    <row r="130" spans="1:15" s="45" customFormat="1" x14ac:dyDescent="0.2">
      <c r="A130" s="44"/>
      <c r="B130" s="41"/>
      <c r="C130" s="6"/>
      <c r="D130" s="6"/>
      <c r="E130" s="6"/>
      <c r="F130" s="8"/>
      <c r="G130" s="6"/>
      <c r="H130" s="6"/>
      <c r="I130" s="9"/>
      <c r="J130" s="9"/>
      <c r="K130" s="9"/>
      <c r="L130" s="9"/>
      <c r="M130" s="9"/>
      <c r="N130" s="6"/>
      <c r="O130" s="6"/>
    </row>
    <row r="131" spans="1:15" s="45" customFormat="1" x14ac:dyDescent="0.2">
      <c r="A131" s="44"/>
      <c r="B131" s="41"/>
      <c r="C131" s="6"/>
      <c r="D131" s="6"/>
      <c r="E131" s="6"/>
      <c r="F131" s="8"/>
      <c r="G131" s="6"/>
      <c r="H131" s="6"/>
      <c r="I131" s="9"/>
      <c r="J131" s="9"/>
      <c r="K131" s="9"/>
      <c r="L131" s="9"/>
      <c r="M131" s="9"/>
      <c r="N131" s="6"/>
      <c r="O131" s="6"/>
    </row>
    <row r="132" spans="1:15" s="45" customFormat="1" x14ac:dyDescent="0.2">
      <c r="A132" s="44"/>
      <c r="B132" s="41"/>
      <c r="C132" s="6"/>
      <c r="D132" s="6"/>
      <c r="E132" s="6"/>
      <c r="F132" s="8"/>
      <c r="G132" s="6"/>
      <c r="H132" s="6"/>
      <c r="I132" s="9"/>
      <c r="J132" s="9"/>
      <c r="K132" s="9"/>
      <c r="L132" s="9"/>
      <c r="M132" s="9"/>
      <c r="N132" s="6"/>
      <c r="O132" s="6"/>
    </row>
    <row r="133" spans="1:15" s="45" customFormat="1" x14ac:dyDescent="0.2">
      <c r="A133" s="44"/>
      <c r="B133" s="41"/>
      <c r="C133" s="6"/>
      <c r="D133" s="6"/>
      <c r="E133" s="6"/>
      <c r="F133" s="8"/>
      <c r="G133" s="6"/>
      <c r="H133" s="6"/>
      <c r="I133" s="9"/>
      <c r="J133" s="9"/>
      <c r="K133" s="9"/>
      <c r="L133" s="9"/>
      <c r="M133" s="9"/>
      <c r="N133" s="6"/>
      <c r="O133" s="6"/>
    </row>
    <row r="134" spans="1:15" s="45" customFormat="1" x14ac:dyDescent="0.2">
      <c r="A134" s="44"/>
      <c r="B134" s="41"/>
      <c r="C134" s="6"/>
      <c r="D134" s="6"/>
      <c r="E134" s="6"/>
      <c r="F134" s="8"/>
      <c r="G134" s="6"/>
      <c r="H134" s="6"/>
      <c r="I134" s="9"/>
      <c r="J134" s="9"/>
      <c r="K134" s="9"/>
      <c r="L134" s="9"/>
      <c r="M134" s="9"/>
      <c r="N134" s="6"/>
    </row>
    <row r="135" spans="1:15" s="45" customFormat="1" x14ac:dyDescent="0.2">
      <c r="A135" s="44"/>
      <c r="B135" s="41"/>
      <c r="C135" s="6"/>
      <c r="D135" s="6"/>
      <c r="E135" s="6"/>
      <c r="F135" s="8"/>
      <c r="G135" s="6"/>
      <c r="H135" s="6"/>
      <c r="I135" s="9"/>
      <c r="J135" s="9"/>
      <c r="K135" s="9"/>
      <c r="L135" s="9"/>
      <c r="M135" s="9"/>
      <c r="N135" s="6"/>
    </row>
    <row r="136" spans="1:15" s="45" customFormat="1" x14ac:dyDescent="0.2">
      <c r="A136" s="44"/>
      <c r="B136" s="41"/>
      <c r="C136" s="6"/>
      <c r="D136" s="6"/>
      <c r="E136" s="6"/>
      <c r="F136" s="8"/>
      <c r="G136" s="6"/>
      <c r="H136" s="6"/>
      <c r="I136" s="9"/>
      <c r="J136" s="9"/>
      <c r="K136" s="9"/>
      <c r="L136" s="9"/>
      <c r="M136" s="9"/>
      <c r="N136" s="6"/>
    </row>
    <row r="137" spans="1:15" s="45" customFormat="1" x14ac:dyDescent="0.2">
      <c r="A137" s="44"/>
      <c r="B137" s="41"/>
      <c r="C137" s="6"/>
      <c r="D137" s="6"/>
      <c r="E137" s="6"/>
      <c r="F137" s="8"/>
      <c r="G137" s="6"/>
      <c r="H137" s="6"/>
      <c r="I137" s="9"/>
      <c r="J137" s="9"/>
      <c r="K137" s="9"/>
      <c r="L137" s="9"/>
      <c r="M137" s="9"/>
      <c r="N137" s="6"/>
    </row>
    <row r="138" spans="1:15" s="45" customFormat="1" x14ac:dyDescent="0.2">
      <c r="A138" s="44"/>
      <c r="B138" s="41"/>
      <c r="C138" s="6"/>
      <c r="D138" s="6"/>
      <c r="E138" s="6"/>
      <c r="F138" s="8"/>
      <c r="G138" s="6"/>
      <c r="H138" s="6"/>
      <c r="I138" s="9"/>
      <c r="J138" s="9"/>
      <c r="K138" s="9"/>
      <c r="L138" s="9"/>
      <c r="M138" s="9"/>
      <c r="N138" s="6"/>
    </row>
    <row r="139" spans="1:15" s="45" customFormat="1" x14ac:dyDescent="0.2">
      <c r="A139" s="44"/>
      <c r="B139" s="41"/>
      <c r="C139" s="6"/>
      <c r="D139" s="6"/>
      <c r="E139" s="6"/>
      <c r="F139" s="8"/>
      <c r="G139" s="6"/>
      <c r="H139" s="6"/>
      <c r="I139" s="9"/>
      <c r="J139" s="9"/>
      <c r="K139" s="9"/>
      <c r="L139" s="9"/>
      <c r="M139" s="9"/>
      <c r="N139" s="6"/>
    </row>
    <row r="140" spans="1:15" s="45" customFormat="1" x14ac:dyDescent="0.2">
      <c r="A140" s="44"/>
      <c r="B140" s="41"/>
      <c r="C140" s="6"/>
      <c r="D140" s="6"/>
      <c r="E140" s="6"/>
      <c r="F140" s="8"/>
      <c r="G140" s="6"/>
      <c r="H140" s="6"/>
      <c r="I140" s="9"/>
      <c r="J140" s="9"/>
      <c r="K140" s="9"/>
      <c r="L140" s="9"/>
      <c r="M140" s="9"/>
      <c r="N140" s="6"/>
    </row>
    <row r="141" spans="1:15" s="45" customFormat="1" x14ac:dyDescent="0.2">
      <c r="A141" s="44"/>
      <c r="B141" s="41"/>
      <c r="C141" s="6"/>
      <c r="D141" s="6"/>
      <c r="E141" s="6"/>
      <c r="F141" s="8"/>
      <c r="G141" s="6"/>
      <c r="H141" s="6"/>
      <c r="I141" s="9"/>
      <c r="J141" s="9"/>
      <c r="K141" s="9"/>
      <c r="L141" s="9"/>
      <c r="M141" s="9"/>
      <c r="N141" s="6"/>
    </row>
    <row r="142" spans="1:15" s="45" customFormat="1" x14ac:dyDescent="0.2">
      <c r="A142" s="44"/>
      <c r="B142" s="41"/>
      <c r="C142" s="6"/>
      <c r="D142" s="6"/>
      <c r="E142" s="6"/>
      <c r="F142" s="8"/>
      <c r="G142" s="6"/>
      <c r="H142" s="6"/>
      <c r="I142" s="9"/>
      <c r="J142" s="9"/>
      <c r="K142" s="9"/>
      <c r="L142" s="9"/>
      <c r="M142" s="9"/>
      <c r="N142" s="6"/>
    </row>
    <row r="143" spans="1:15" s="45" customFormat="1" x14ac:dyDescent="0.2">
      <c r="A143" s="44"/>
      <c r="B143" s="41"/>
      <c r="C143" s="6"/>
      <c r="D143" s="6"/>
      <c r="E143" s="6"/>
      <c r="F143" s="8"/>
      <c r="G143" s="6"/>
      <c r="H143" s="6"/>
      <c r="I143" s="9"/>
      <c r="J143" s="9"/>
      <c r="K143" s="9"/>
      <c r="L143" s="9"/>
      <c r="M143" s="9"/>
      <c r="N143" s="6"/>
    </row>
    <row r="144" spans="1:15" s="45" customFormat="1" x14ac:dyDescent="0.2">
      <c r="A144" s="44"/>
      <c r="B144" s="41"/>
      <c r="C144" s="6"/>
      <c r="D144" s="6"/>
      <c r="E144" s="6"/>
      <c r="F144" s="8"/>
      <c r="G144" s="6"/>
      <c r="H144" s="6"/>
      <c r="I144" s="9"/>
      <c r="J144" s="9"/>
      <c r="K144" s="9"/>
      <c r="L144" s="9"/>
      <c r="M144" s="9"/>
      <c r="N144" s="6"/>
    </row>
    <row r="145" spans="1:14" s="45" customFormat="1" x14ac:dyDescent="0.2">
      <c r="A145" s="44"/>
      <c r="B145" s="41"/>
      <c r="C145" s="6"/>
      <c r="D145" s="6"/>
      <c r="E145" s="6"/>
      <c r="F145" s="8"/>
      <c r="G145" s="6"/>
      <c r="H145" s="6"/>
      <c r="I145" s="9"/>
      <c r="J145" s="9"/>
      <c r="K145" s="9"/>
      <c r="L145" s="9"/>
      <c r="M145" s="9"/>
      <c r="N145" s="6"/>
    </row>
    <row r="146" spans="1:14" s="45" customFormat="1" x14ac:dyDescent="0.2">
      <c r="A146" s="44"/>
      <c r="B146" s="41"/>
      <c r="C146" s="6"/>
      <c r="D146" s="6"/>
      <c r="E146" s="6"/>
      <c r="F146" s="8"/>
      <c r="G146" s="6"/>
      <c r="H146" s="6"/>
      <c r="I146" s="9"/>
      <c r="J146" s="9"/>
      <c r="K146" s="9"/>
      <c r="L146" s="9"/>
      <c r="M146" s="9"/>
      <c r="N146" s="6"/>
    </row>
    <row r="147" spans="1:14" s="45" customFormat="1" x14ac:dyDescent="0.2">
      <c r="A147" s="44"/>
      <c r="B147" s="41"/>
      <c r="C147" s="6"/>
      <c r="D147" s="6"/>
      <c r="E147" s="6"/>
      <c r="F147" s="8"/>
      <c r="G147" s="6"/>
      <c r="H147" s="6"/>
      <c r="I147" s="9"/>
      <c r="J147" s="9"/>
      <c r="K147" s="9"/>
      <c r="L147" s="9"/>
      <c r="M147" s="9"/>
      <c r="N147" s="6"/>
    </row>
    <row r="148" spans="1:14" s="45" customFormat="1" x14ac:dyDescent="0.2">
      <c r="A148" s="44"/>
      <c r="B148" s="41"/>
      <c r="C148" s="6"/>
      <c r="D148" s="6"/>
      <c r="E148" s="6"/>
      <c r="F148" s="8"/>
      <c r="G148" s="6"/>
      <c r="H148" s="6"/>
      <c r="I148" s="9"/>
      <c r="J148" s="9"/>
      <c r="K148" s="9"/>
      <c r="L148" s="9"/>
      <c r="M148" s="9"/>
      <c r="N148" s="6"/>
    </row>
    <row r="149" spans="1:14" s="45" customFormat="1" x14ac:dyDescent="0.2">
      <c r="A149" s="44"/>
      <c r="B149" s="41"/>
      <c r="C149" s="6"/>
      <c r="D149" s="6"/>
      <c r="E149" s="6"/>
      <c r="F149" s="8"/>
      <c r="G149" s="6"/>
      <c r="H149" s="6"/>
      <c r="I149" s="9"/>
      <c r="J149" s="9"/>
      <c r="K149" s="9"/>
      <c r="L149" s="9"/>
      <c r="M149" s="9"/>
      <c r="N149" s="6"/>
    </row>
    <row r="150" spans="1:14" s="45" customFormat="1" x14ac:dyDescent="0.2">
      <c r="A150" s="44"/>
      <c r="B150" s="41"/>
      <c r="C150" s="6"/>
      <c r="D150" s="6"/>
      <c r="E150" s="6"/>
      <c r="F150" s="8"/>
      <c r="G150" s="6"/>
      <c r="H150" s="6"/>
      <c r="I150" s="9"/>
      <c r="J150" s="9"/>
      <c r="K150" s="9"/>
      <c r="L150" s="9"/>
      <c r="M150" s="9"/>
      <c r="N150" s="6"/>
    </row>
    <row r="151" spans="1:14" s="45" customFormat="1" x14ac:dyDescent="0.2">
      <c r="A151" s="44"/>
      <c r="B151" s="41"/>
      <c r="C151" s="6"/>
      <c r="D151" s="6"/>
      <c r="E151" s="6"/>
      <c r="F151" s="8"/>
      <c r="G151" s="6"/>
      <c r="H151" s="6"/>
      <c r="I151" s="9"/>
      <c r="J151" s="9"/>
      <c r="K151" s="9"/>
      <c r="L151" s="9"/>
      <c r="M151" s="9"/>
      <c r="N151" s="6"/>
    </row>
    <row r="152" spans="1:14" s="45" customFormat="1" x14ac:dyDescent="0.2">
      <c r="A152" s="44"/>
      <c r="B152" s="41"/>
      <c r="C152" s="6"/>
      <c r="D152" s="6"/>
      <c r="E152" s="6"/>
      <c r="F152" s="8"/>
      <c r="G152" s="6"/>
      <c r="H152" s="6"/>
      <c r="I152" s="9"/>
      <c r="J152" s="9"/>
      <c r="K152" s="9"/>
      <c r="L152" s="9"/>
      <c r="M152" s="9"/>
      <c r="N152" s="6"/>
    </row>
    <row r="153" spans="1:14" s="45" customFormat="1" x14ac:dyDescent="0.2">
      <c r="A153" s="44"/>
      <c r="B153" s="41"/>
      <c r="C153" s="6"/>
      <c r="D153" s="6"/>
      <c r="E153" s="6"/>
      <c r="F153" s="8"/>
      <c r="G153" s="6"/>
      <c r="H153" s="6"/>
      <c r="I153" s="9"/>
      <c r="J153" s="9"/>
      <c r="K153" s="9"/>
      <c r="L153" s="9"/>
      <c r="M153" s="9"/>
      <c r="N153" s="6"/>
    </row>
    <row r="154" spans="1:14" s="45" customFormat="1" x14ac:dyDescent="0.2">
      <c r="A154" s="44"/>
      <c r="B154" s="41"/>
      <c r="C154" s="6"/>
      <c r="D154" s="6"/>
      <c r="E154" s="6"/>
      <c r="F154" s="8"/>
      <c r="G154" s="6"/>
      <c r="H154" s="6"/>
      <c r="I154" s="9"/>
      <c r="J154" s="9"/>
      <c r="K154" s="9"/>
      <c r="L154" s="9"/>
      <c r="M154" s="9"/>
      <c r="N154" s="6"/>
    </row>
    <row r="155" spans="1:14" s="45" customFormat="1" x14ac:dyDescent="0.2">
      <c r="A155" s="44"/>
      <c r="B155" s="41"/>
      <c r="C155" s="6"/>
      <c r="D155" s="6"/>
      <c r="E155" s="6"/>
      <c r="F155" s="8"/>
      <c r="G155" s="6"/>
      <c r="H155" s="6"/>
      <c r="I155" s="9"/>
      <c r="J155" s="9"/>
      <c r="K155" s="9"/>
      <c r="L155" s="9"/>
      <c r="M155" s="9"/>
      <c r="N155" s="6"/>
    </row>
    <row r="156" spans="1:14" s="45" customFormat="1" x14ac:dyDescent="0.2">
      <c r="A156" s="44"/>
      <c r="B156" s="41"/>
      <c r="C156" s="6"/>
      <c r="D156" s="6"/>
      <c r="E156" s="6"/>
      <c r="F156" s="8"/>
      <c r="G156" s="6"/>
      <c r="H156" s="6"/>
      <c r="I156" s="9"/>
      <c r="J156" s="9"/>
      <c r="K156" s="9"/>
      <c r="L156" s="9"/>
      <c r="M156" s="9"/>
      <c r="N156" s="6"/>
    </row>
    <row r="157" spans="1:14" s="45" customFormat="1" x14ac:dyDescent="0.2">
      <c r="A157" s="44"/>
      <c r="B157" s="41"/>
      <c r="C157" s="6"/>
      <c r="D157" s="6"/>
      <c r="E157" s="6"/>
      <c r="F157" s="8"/>
      <c r="G157" s="6"/>
      <c r="H157" s="6"/>
      <c r="I157" s="9"/>
      <c r="J157" s="9"/>
      <c r="K157" s="9"/>
      <c r="L157" s="9"/>
      <c r="M157" s="9"/>
      <c r="N157" s="6"/>
    </row>
    <row r="158" spans="1:14" s="45" customFormat="1" x14ac:dyDescent="0.2">
      <c r="A158" s="44"/>
      <c r="B158" s="41"/>
      <c r="C158" s="6"/>
      <c r="D158" s="6"/>
      <c r="E158" s="6"/>
      <c r="F158" s="8"/>
      <c r="G158" s="6"/>
      <c r="H158" s="6"/>
      <c r="I158" s="9"/>
      <c r="J158" s="9"/>
      <c r="K158" s="9"/>
      <c r="L158" s="9"/>
      <c r="M158" s="9"/>
      <c r="N158" s="6"/>
    </row>
    <row r="159" spans="1:14" s="45" customFormat="1" x14ac:dyDescent="0.2">
      <c r="A159" s="44"/>
      <c r="B159" s="41"/>
      <c r="C159" s="6"/>
      <c r="D159" s="6"/>
      <c r="E159" s="6"/>
      <c r="F159" s="8"/>
      <c r="G159" s="6"/>
      <c r="H159" s="6"/>
      <c r="I159" s="9"/>
      <c r="J159" s="9"/>
      <c r="K159" s="9"/>
      <c r="L159" s="9"/>
      <c r="M159" s="9"/>
      <c r="N159" s="6"/>
    </row>
    <row r="160" spans="1:14" s="45" customFormat="1" x14ac:dyDescent="0.2">
      <c r="A160" s="44"/>
      <c r="B160" s="41"/>
      <c r="C160" s="6"/>
      <c r="D160" s="6"/>
      <c r="E160" s="6"/>
      <c r="F160" s="8"/>
      <c r="G160" s="6"/>
      <c r="H160" s="6"/>
      <c r="I160" s="9"/>
      <c r="J160" s="9"/>
      <c r="K160" s="9"/>
      <c r="L160" s="9"/>
      <c r="M160" s="9"/>
      <c r="N160" s="6"/>
    </row>
    <row r="161" spans="1:14" s="45" customFormat="1" x14ac:dyDescent="0.2">
      <c r="A161" s="44"/>
      <c r="B161" s="41"/>
      <c r="C161" s="6"/>
      <c r="D161" s="6"/>
      <c r="E161" s="6"/>
      <c r="F161" s="8"/>
      <c r="G161" s="6"/>
      <c r="H161" s="6"/>
      <c r="I161" s="9"/>
      <c r="J161" s="9"/>
      <c r="K161" s="9"/>
      <c r="L161" s="9"/>
      <c r="M161" s="9"/>
      <c r="N161" s="6"/>
    </row>
    <row r="162" spans="1:14" s="45" customFormat="1" x14ac:dyDescent="0.2">
      <c r="A162" s="44"/>
      <c r="B162" s="41"/>
      <c r="C162" s="6"/>
      <c r="D162" s="6"/>
      <c r="E162" s="6"/>
      <c r="F162" s="8"/>
      <c r="G162" s="6"/>
      <c r="H162" s="6"/>
      <c r="I162" s="9"/>
      <c r="J162" s="9"/>
      <c r="K162" s="9"/>
      <c r="L162" s="9"/>
      <c r="M162" s="9"/>
      <c r="N162" s="6"/>
    </row>
    <row r="163" spans="1:14" s="45" customFormat="1" x14ac:dyDescent="0.2">
      <c r="A163" s="44"/>
      <c r="B163" s="41"/>
      <c r="C163" s="6"/>
      <c r="D163" s="6"/>
      <c r="E163" s="6"/>
      <c r="F163" s="8"/>
      <c r="G163" s="6"/>
      <c r="H163" s="6"/>
      <c r="I163" s="9"/>
      <c r="J163" s="9"/>
      <c r="K163" s="9"/>
      <c r="L163" s="9"/>
      <c r="M163" s="9"/>
      <c r="N163" s="6"/>
    </row>
    <row r="164" spans="1:14" s="45" customFormat="1" x14ac:dyDescent="0.2">
      <c r="A164" s="44"/>
      <c r="B164" s="41"/>
      <c r="C164" s="6"/>
      <c r="D164" s="6"/>
      <c r="E164" s="6"/>
      <c r="F164" s="8"/>
      <c r="G164" s="6"/>
      <c r="H164" s="6"/>
      <c r="I164" s="9"/>
      <c r="J164" s="9"/>
      <c r="K164" s="9"/>
      <c r="L164" s="9"/>
      <c r="M164" s="9"/>
      <c r="N164" s="6"/>
    </row>
    <row r="165" spans="1:14" s="45" customFormat="1" x14ac:dyDescent="0.2">
      <c r="A165" s="44"/>
      <c r="B165" s="41"/>
      <c r="C165" s="6"/>
      <c r="D165" s="6"/>
      <c r="E165" s="6"/>
      <c r="F165" s="8"/>
      <c r="G165" s="6"/>
      <c r="H165" s="6"/>
      <c r="I165" s="9"/>
      <c r="J165" s="9"/>
      <c r="K165" s="9"/>
      <c r="L165" s="9"/>
      <c r="M165" s="9"/>
      <c r="N165" s="6"/>
    </row>
    <row r="166" spans="1:14" s="45" customFormat="1" x14ac:dyDescent="0.2">
      <c r="A166" s="44"/>
      <c r="B166" s="41"/>
      <c r="C166" s="6"/>
      <c r="D166" s="6"/>
      <c r="E166" s="6"/>
      <c r="F166" s="8"/>
      <c r="G166" s="6"/>
      <c r="H166" s="6"/>
      <c r="I166" s="9"/>
      <c r="J166" s="9"/>
      <c r="K166" s="9"/>
      <c r="L166" s="9"/>
      <c r="M166" s="9"/>
      <c r="N166" s="6"/>
    </row>
    <row r="167" spans="1:14" s="45" customFormat="1" x14ac:dyDescent="0.2">
      <c r="A167" s="44"/>
      <c r="B167" s="41"/>
      <c r="C167" s="6"/>
      <c r="D167" s="6"/>
      <c r="E167" s="6"/>
      <c r="F167" s="8"/>
      <c r="G167" s="6"/>
      <c r="H167" s="6"/>
      <c r="I167" s="9"/>
      <c r="J167" s="9"/>
      <c r="K167" s="9"/>
      <c r="L167" s="9"/>
      <c r="M167" s="9"/>
      <c r="N167" s="6"/>
    </row>
    <row r="168" spans="1:14" s="45" customFormat="1" x14ac:dyDescent="0.2">
      <c r="A168" s="44"/>
      <c r="B168" s="41"/>
      <c r="C168" s="6"/>
      <c r="D168" s="6"/>
      <c r="E168" s="6"/>
      <c r="F168" s="8"/>
      <c r="G168" s="6"/>
      <c r="H168" s="6"/>
      <c r="I168" s="9"/>
      <c r="J168" s="9"/>
      <c r="K168" s="9"/>
      <c r="L168" s="9"/>
      <c r="M168" s="9"/>
      <c r="N168" s="6"/>
    </row>
    <row r="169" spans="1:14" s="45" customFormat="1" x14ac:dyDescent="0.2">
      <c r="A169" s="44"/>
      <c r="B169" s="41"/>
      <c r="C169" s="6"/>
      <c r="D169" s="6"/>
      <c r="E169" s="6"/>
      <c r="F169" s="8"/>
      <c r="G169" s="6"/>
      <c r="H169" s="6"/>
      <c r="I169" s="9"/>
      <c r="J169" s="9"/>
      <c r="K169" s="9"/>
      <c r="L169" s="9"/>
      <c r="M169" s="9"/>
      <c r="N169" s="6"/>
    </row>
    <row r="170" spans="1:14" s="45" customFormat="1" x14ac:dyDescent="0.2">
      <c r="A170" s="44"/>
      <c r="B170" s="41"/>
      <c r="C170" s="6"/>
      <c r="D170" s="6"/>
      <c r="E170" s="6"/>
      <c r="F170" s="8"/>
      <c r="G170" s="6"/>
      <c r="H170" s="6"/>
      <c r="I170" s="9"/>
      <c r="J170" s="9"/>
      <c r="K170" s="9"/>
      <c r="L170" s="9"/>
      <c r="M170" s="9"/>
      <c r="N170" s="6"/>
    </row>
    <row r="171" spans="1:14" s="45" customFormat="1" x14ac:dyDescent="0.2">
      <c r="A171" s="44"/>
      <c r="B171" s="41"/>
      <c r="C171" s="6"/>
      <c r="D171" s="6"/>
      <c r="E171" s="6"/>
      <c r="F171" s="8"/>
      <c r="G171" s="6"/>
      <c r="H171" s="6"/>
      <c r="I171" s="9"/>
      <c r="J171" s="9"/>
      <c r="K171" s="9"/>
      <c r="L171" s="9"/>
      <c r="M171" s="9"/>
      <c r="N171" s="6"/>
    </row>
    <row r="172" spans="1:14" s="45" customFormat="1" x14ac:dyDescent="0.2">
      <c r="A172" s="44"/>
      <c r="B172" s="41"/>
      <c r="C172" s="6"/>
      <c r="D172" s="6"/>
      <c r="E172" s="6"/>
      <c r="F172" s="8"/>
      <c r="G172" s="6"/>
      <c r="H172" s="6"/>
      <c r="I172" s="9"/>
      <c r="J172" s="9"/>
      <c r="K172" s="9"/>
      <c r="L172" s="9"/>
      <c r="M172" s="9"/>
      <c r="N172" s="6"/>
    </row>
    <row r="173" spans="1:14" s="45" customFormat="1" x14ac:dyDescent="0.2">
      <c r="A173" s="44"/>
      <c r="B173" s="41"/>
      <c r="C173" s="6"/>
      <c r="D173" s="6"/>
      <c r="E173" s="6"/>
      <c r="F173" s="8"/>
      <c r="G173" s="6"/>
      <c r="H173" s="6"/>
      <c r="I173" s="9"/>
      <c r="J173" s="9"/>
      <c r="K173" s="9"/>
      <c r="L173" s="9"/>
      <c r="M173" s="9"/>
      <c r="N173" s="6"/>
    </row>
    <row r="174" spans="1:14" s="45" customFormat="1" x14ac:dyDescent="0.2">
      <c r="A174" s="44"/>
      <c r="B174" s="41"/>
      <c r="C174" s="6"/>
      <c r="D174" s="6"/>
      <c r="E174" s="6"/>
      <c r="F174" s="8"/>
      <c r="G174" s="6"/>
      <c r="H174" s="6"/>
      <c r="I174" s="9"/>
      <c r="J174" s="9"/>
      <c r="K174" s="9"/>
      <c r="L174" s="9"/>
      <c r="M174" s="9"/>
      <c r="N174" s="6"/>
    </row>
    <row r="175" spans="1:14" s="45" customFormat="1" x14ac:dyDescent="0.2">
      <c r="A175" s="44"/>
      <c r="B175" s="41"/>
      <c r="C175" s="6"/>
      <c r="D175" s="6"/>
      <c r="E175" s="6"/>
      <c r="F175" s="8"/>
      <c r="G175" s="6"/>
      <c r="H175" s="6"/>
      <c r="I175" s="9"/>
      <c r="J175" s="9"/>
      <c r="K175" s="9"/>
      <c r="L175" s="9"/>
      <c r="M175" s="9"/>
      <c r="N175" s="6"/>
    </row>
    <row r="176" spans="1:14" s="45" customFormat="1" x14ac:dyDescent="0.2">
      <c r="A176" s="44"/>
      <c r="B176" s="41"/>
      <c r="C176" s="6"/>
      <c r="D176" s="6"/>
      <c r="E176" s="6"/>
      <c r="F176" s="8"/>
      <c r="G176" s="6"/>
      <c r="H176" s="6"/>
      <c r="I176" s="9"/>
      <c r="J176" s="9"/>
      <c r="K176" s="9"/>
      <c r="L176" s="9"/>
      <c r="M176" s="9"/>
      <c r="N176" s="6"/>
    </row>
    <row r="177" spans="1:14" s="45" customFormat="1" x14ac:dyDescent="0.2">
      <c r="A177" s="44"/>
      <c r="B177" s="41"/>
      <c r="C177" s="6"/>
      <c r="D177" s="6"/>
      <c r="E177" s="6"/>
      <c r="F177" s="8"/>
      <c r="G177" s="6"/>
      <c r="H177" s="6"/>
      <c r="I177" s="9"/>
      <c r="J177" s="9"/>
      <c r="K177" s="9"/>
      <c r="L177" s="9"/>
      <c r="M177" s="9"/>
      <c r="N177" s="6"/>
    </row>
    <row r="178" spans="1:14" s="45" customFormat="1" x14ac:dyDescent="0.2">
      <c r="A178" s="44"/>
      <c r="B178" s="41"/>
      <c r="C178" s="6"/>
      <c r="D178" s="6"/>
      <c r="E178" s="6"/>
      <c r="F178" s="8"/>
      <c r="G178" s="6"/>
      <c r="H178" s="6"/>
      <c r="I178" s="9"/>
      <c r="J178" s="9"/>
      <c r="K178" s="9"/>
      <c r="L178" s="9"/>
      <c r="M178" s="9"/>
      <c r="N178" s="6"/>
    </row>
    <row r="179" spans="1:14" s="45" customFormat="1" x14ac:dyDescent="0.2">
      <c r="A179" s="44"/>
      <c r="B179" s="41"/>
      <c r="C179" s="6"/>
      <c r="D179" s="6"/>
      <c r="E179" s="6"/>
      <c r="F179" s="8"/>
      <c r="G179" s="6"/>
      <c r="H179" s="6"/>
      <c r="I179" s="9"/>
      <c r="J179" s="9"/>
      <c r="K179" s="9"/>
      <c r="L179" s="9"/>
      <c r="M179" s="9"/>
      <c r="N179" s="6"/>
    </row>
    <row r="180" spans="1:14" s="45" customFormat="1" x14ac:dyDescent="0.2">
      <c r="A180" s="44"/>
      <c r="B180" s="41"/>
      <c r="C180" s="6"/>
      <c r="D180" s="6"/>
      <c r="E180" s="6"/>
      <c r="F180" s="8"/>
      <c r="G180" s="6"/>
      <c r="H180" s="6"/>
      <c r="I180" s="9"/>
      <c r="J180" s="9"/>
      <c r="K180" s="9"/>
      <c r="L180" s="9"/>
      <c r="M180" s="9"/>
      <c r="N180" s="6"/>
    </row>
    <row r="181" spans="1:14" s="45" customFormat="1" x14ac:dyDescent="0.2">
      <c r="A181" s="44"/>
      <c r="B181" s="41"/>
      <c r="C181" s="6"/>
      <c r="D181" s="6"/>
      <c r="E181" s="6"/>
      <c r="F181" s="8"/>
      <c r="G181" s="6"/>
      <c r="H181" s="6"/>
      <c r="I181" s="9"/>
      <c r="J181" s="9"/>
      <c r="K181" s="9"/>
      <c r="L181" s="9"/>
      <c r="M181" s="9"/>
      <c r="N181" s="6"/>
    </row>
    <row r="182" spans="1:14" s="45" customFormat="1" x14ac:dyDescent="0.2">
      <c r="A182" s="44"/>
      <c r="B182" s="41"/>
      <c r="C182" s="6"/>
      <c r="D182" s="6"/>
      <c r="E182" s="6"/>
      <c r="F182" s="8"/>
      <c r="G182" s="6"/>
      <c r="H182" s="6"/>
      <c r="I182" s="9"/>
      <c r="J182" s="9"/>
      <c r="K182" s="9"/>
      <c r="L182" s="9"/>
      <c r="M182" s="9"/>
      <c r="N182" s="6"/>
    </row>
    <row r="183" spans="1:14" s="45" customFormat="1" x14ac:dyDescent="0.2">
      <c r="A183" s="44"/>
      <c r="B183" s="41"/>
      <c r="C183" s="6"/>
      <c r="D183" s="6"/>
      <c r="E183" s="6"/>
      <c r="F183" s="8"/>
      <c r="G183" s="6"/>
      <c r="H183" s="6"/>
      <c r="I183" s="9"/>
      <c r="J183" s="9"/>
      <c r="K183" s="9"/>
      <c r="L183" s="9"/>
      <c r="M183" s="9"/>
      <c r="N183" s="6"/>
    </row>
    <row r="184" spans="1:14" s="45" customFormat="1" x14ac:dyDescent="0.2">
      <c r="A184" s="44"/>
      <c r="B184" s="41"/>
      <c r="C184" s="6"/>
      <c r="D184" s="6"/>
      <c r="E184" s="6"/>
      <c r="F184" s="8"/>
      <c r="G184" s="6"/>
      <c r="H184" s="6"/>
      <c r="I184" s="9"/>
      <c r="J184" s="9"/>
      <c r="K184" s="9"/>
      <c r="L184" s="9"/>
      <c r="M184" s="9"/>
      <c r="N184" s="6"/>
    </row>
    <row r="185" spans="1:14" s="45" customFormat="1" x14ac:dyDescent="0.2">
      <c r="A185" s="44"/>
      <c r="B185" s="41"/>
      <c r="C185" s="6"/>
      <c r="D185" s="6"/>
      <c r="E185" s="6"/>
      <c r="F185" s="8"/>
      <c r="G185" s="6"/>
      <c r="H185" s="6"/>
      <c r="I185" s="9"/>
      <c r="J185" s="9"/>
      <c r="K185" s="9"/>
      <c r="L185" s="9"/>
      <c r="M185" s="9"/>
      <c r="N185" s="6"/>
    </row>
    <row r="186" spans="1:14" s="45" customFormat="1" x14ac:dyDescent="0.2">
      <c r="A186" s="44"/>
      <c r="B186" s="41"/>
      <c r="C186" s="6"/>
      <c r="D186" s="6"/>
      <c r="E186" s="6"/>
      <c r="F186" s="8"/>
      <c r="G186" s="6"/>
      <c r="H186" s="6"/>
      <c r="I186" s="9"/>
      <c r="J186" s="9"/>
      <c r="K186" s="9"/>
      <c r="L186" s="9"/>
      <c r="M186" s="9"/>
      <c r="N186" s="6"/>
    </row>
    <row r="187" spans="1:14" s="45" customFormat="1" x14ac:dyDescent="0.2">
      <c r="A187" s="44"/>
      <c r="B187" s="41"/>
      <c r="C187" s="6"/>
      <c r="D187" s="6"/>
      <c r="E187" s="6"/>
      <c r="F187" s="8"/>
      <c r="G187" s="6"/>
      <c r="H187" s="6"/>
      <c r="I187" s="9"/>
      <c r="J187" s="9"/>
      <c r="K187" s="9"/>
      <c r="L187" s="9"/>
      <c r="M187" s="9"/>
      <c r="N187" s="6"/>
    </row>
    <row r="188" spans="1:14" s="45" customFormat="1" x14ac:dyDescent="0.2">
      <c r="A188" s="44"/>
      <c r="B188" s="41"/>
      <c r="C188" s="6"/>
      <c r="D188" s="6"/>
      <c r="E188" s="6"/>
      <c r="F188" s="8"/>
      <c r="G188" s="6"/>
      <c r="H188" s="6"/>
      <c r="I188" s="9"/>
      <c r="J188" s="9"/>
      <c r="K188" s="9"/>
      <c r="L188" s="9"/>
      <c r="M188" s="9"/>
      <c r="N188" s="6"/>
    </row>
    <row r="189" spans="1:14" s="45" customFormat="1" x14ac:dyDescent="0.2">
      <c r="A189" s="44"/>
      <c r="B189" s="41"/>
      <c r="C189" s="6"/>
      <c r="D189" s="6"/>
      <c r="E189" s="6"/>
      <c r="F189" s="8"/>
      <c r="G189" s="6"/>
      <c r="H189" s="6"/>
      <c r="I189" s="9"/>
      <c r="J189" s="9"/>
      <c r="K189" s="9"/>
      <c r="L189" s="9"/>
      <c r="M189" s="9"/>
      <c r="N189" s="6"/>
    </row>
    <row r="190" spans="1:14" s="45" customFormat="1" x14ac:dyDescent="0.2">
      <c r="A190" s="44"/>
      <c r="B190" s="41"/>
      <c r="C190" s="6"/>
      <c r="D190" s="6"/>
      <c r="E190" s="6"/>
      <c r="F190" s="8"/>
      <c r="G190" s="6"/>
      <c r="H190" s="6"/>
      <c r="I190" s="9"/>
      <c r="J190" s="9"/>
      <c r="K190" s="9"/>
      <c r="L190" s="9"/>
      <c r="M190" s="9"/>
      <c r="N190" s="6"/>
    </row>
    <row r="191" spans="1:14" s="45" customFormat="1" x14ac:dyDescent="0.2">
      <c r="A191" s="44"/>
      <c r="B191" s="41"/>
      <c r="C191" s="6"/>
      <c r="D191" s="6"/>
      <c r="E191" s="6"/>
      <c r="F191" s="8"/>
      <c r="G191" s="6"/>
      <c r="H191" s="6"/>
      <c r="I191" s="9"/>
      <c r="J191" s="9"/>
      <c r="K191" s="9"/>
      <c r="L191" s="9"/>
      <c r="M191" s="9"/>
      <c r="N191" s="6"/>
    </row>
    <row r="192" spans="1:14" s="45" customFormat="1" x14ac:dyDescent="0.2">
      <c r="A192" s="44"/>
      <c r="B192" s="41"/>
      <c r="C192" s="6"/>
      <c r="D192" s="6"/>
      <c r="E192" s="6"/>
      <c r="F192" s="8"/>
      <c r="G192" s="6"/>
      <c r="H192" s="6"/>
      <c r="I192" s="9"/>
      <c r="J192" s="9"/>
      <c r="K192" s="9"/>
      <c r="L192" s="9"/>
      <c r="M192" s="9"/>
      <c r="N192" s="6"/>
    </row>
    <row r="193" spans="1:14" s="45" customFormat="1" x14ac:dyDescent="0.2">
      <c r="A193" s="44"/>
      <c r="B193" s="41"/>
      <c r="C193" s="6"/>
      <c r="D193" s="6"/>
      <c r="E193" s="6"/>
      <c r="F193" s="8"/>
      <c r="G193" s="6"/>
      <c r="H193" s="6"/>
      <c r="I193" s="9"/>
      <c r="J193" s="9"/>
      <c r="K193" s="9"/>
      <c r="L193" s="9"/>
      <c r="M193" s="9"/>
      <c r="N193" s="6"/>
    </row>
    <row r="194" spans="1:14" s="45" customFormat="1" x14ac:dyDescent="0.2">
      <c r="A194" s="44"/>
      <c r="B194" s="41"/>
      <c r="C194" s="6"/>
      <c r="D194" s="6"/>
      <c r="E194" s="6"/>
      <c r="F194" s="8"/>
      <c r="G194" s="6"/>
      <c r="H194" s="6"/>
      <c r="I194" s="9"/>
      <c r="J194" s="9"/>
      <c r="K194" s="9"/>
      <c r="L194" s="9"/>
      <c r="M194" s="9"/>
      <c r="N194" s="6"/>
    </row>
    <row r="195" spans="1:14" s="45" customFormat="1" x14ac:dyDescent="0.2">
      <c r="A195" s="44"/>
      <c r="B195" s="41"/>
      <c r="C195" s="6"/>
      <c r="D195" s="6"/>
      <c r="E195" s="6"/>
      <c r="F195" s="8"/>
      <c r="G195" s="6"/>
      <c r="H195" s="6"/>
      <c r="I195" s="9"/>
      <c r="J195" s="9"/>
      <c r="K195" s="9"/>
      <c r="L195" s="9"/>
      <c r="M195" s="9"/>
      <c r="N195" s="6"/>
    </row>
    <row r="196" spans="1:14" s="45" customFormat="1" x14ac:dyDescent="0.2">
      <c r="A196" s="44"/>
      <c r="B196" s="41"/>
      <c r="C196" s="6"/>
      <c r="D196" s="6"/>
      <c r="E196" s="6"/>
      <c r="F196" s="8"/>
      <c r="G196" s="6"/>
      <c r="H196" s="6"/>
      <c r="I196" s="9"/>
      <c r="J196" s="9"/>
      <c r="K196" s="9"/>
      <c r="L196" s="9"/>
      <c r="M196" s="9"/>
      <c r="N196" s="6"/>
    </row>
    <row r="197" spans="1:14" s="45" customFormat="1" x14ac:dyDescent="0.2">
      <c r="A197" s="44"/>
      <c r="B197" s="41"/>
      <c r="C197" s="6"/>
      <c r="D197" s="6"/>
      <c r="E197" s="6"/>
      <c r="F197" s="8"/>
      <c r="G197" s="6"/>
      <c r="H197" s="6"/>
      <c r="I197" s="9"/>
      <c r="J197" s="9"/>
      <c r="K197" s="9"/>
      <c r="L197" s="9"/>
      <c r="M197" s="9"/>
      <c r="N197" s="6"/>
    </row>
    <row r="198" spans="1:14" s="45" customFormat="1" x14ac:dyDescent="0.2">
      <c r="A198" s="44"/>
      <c r="B198" s="41"/>
      <c r="C198" s="6"/>
      <c r="D198" s="6"/>
      <c r="E198" s="6"/>
      <c r="F198" s="8"/>
      <c r="G198" s="6"/>
      <c r="H198" s="6"/>
      <c r="I198" s="9"/>
      <c r="J198" s="9"/>
      <c r="K198" s="9"/>
      <c r="L198" s="9"/>
      <c r="M198" s="9"/>
      <c r="N198" s="6"/>
    </row>
    <row r="199" spans="1:14" s="45" customFormat="1" x14ac:dyDescent="0.2">
      <c r="A199" s="44"/>
      <c r="B199" s="41"/>
      <c r="C199" s="6"/>
      <c r="D199" s="6"/>
      <c r="E199" s="6"/>
      <c r="F199" s="8"/>
      <c r="G199" s="6"/>
      <c r="H199" s="6"/>
      <c r="I199" s="9"/>
      <c r="J199" s="9"/>
      <c r="K199" s="9"/>
      <c r="L199" s="9"/>
      <c r="M199" s="9"/>
      <c r="N199" s="6"/>
    </row>
    <row r="200" spans="1:14" s="45" customFormat="1" x14ac:dyDescent="0.2">
      <c r="A200" s="44"/>
      <c r="B200" s="41"/>
      <c r="C200" s="6"/>
      <c r="D200" s="6"/>
      <c r="E200" s="6"/>
      <c r="F200" s="8"/>
      <c r="G200" s="6"/>
      <c r="H200" s="6"/>
      <c r="I200" s="9"/>
      <c r="J200" s="9"/>
      <c r="K200" s="9"/>
      <c r="L200" s="9"/>
      <c r="M200" s="9"/>
      <c r="N200" s="6"/>
    </row>
    <row r="201" spans="1:14" s="45" customFormat="1" x14ac:dyDescent="0.2">
      <c r="A201" s="44"/>
      <c r="B201" s="41"/>
      <c r="C201" s="6"/>
      <c r="D201" s="6"/>
      <c r="E201" s="6"/>
      <c r="F201" s="8"/>
      <c r="G201" s="6"/>
      <c r="H201" s="6"/>
      <c r="I201" s="9"/>
      <c r="J201" s="9"/>
      <c r="K201" s="9"/>
      <c r="L201" s="9"/>
      <c r="M201" s="9"/>
      <c r="N201" s="6"/>
    </row>
    <row r="202" spans="1:14" s="45" customFormat="1" x14ac:dyDescent="0.2">
      <c r="A202" s="44"/>
      <c r="B202" s="41"/>
      <c r="C202" s="6"/>
      <c r="D202" s="6"/>
      <c r="E202" s="6"/>
      <c r="F202" s="8"/>
      <c r="G202" s="6"/>
      <c r="H202" s="6"/>
      <c r="I202" s="9"/>
      <c r="J202" s="9"/>
      <c r="K202" s="9"/>
      <c r="L202" s="9"/>
      <c r="M202" s="9"/>
      <c r="N202" s="6"/>
    </row>
    <row r="203" spans="1:14" s="45" customFormat="1" x14ac:dyDescent="0.2">
      <c r="A203" s="44"/>
      <c r="B203" s="41"/>
      <c r="C203" s="6"/>
      <c r="D203" s="6"/>
      <c r="E203" s="6"/>
      <c r="F203" s="8"/>
      <c r="G203" s="6"/>
      <c r="H203" s="6"/>
      <c r="I203" s="9"/>
      <c r="J203" s="9"/>
      <c r="K203" s="9"/>
      <c r="L203" s="9"/>
      <c r="M203" s="9"/>
      <c r="N203" s="6"/>
    </row>
    <row r="204" spans="1:14" s="45" customFormat="1" x14ac:dyDescent="0.2">
      <c r="A204" s="44"/>
      <c r="B204" s="41"/>
      <c r="C204" s="6"/>
      <c r="D204" s="6"/>
      <c r="E204" s="6"/>
      <c r="F204" s="8"/>
      <c r="G204" s="6"/>
      <c r="H204" s="6"/>
      <c r="I204" s="9"/>
      <c r="J204" s="9"/>
      <c r="K204" s="9"/>
      <c r="L204" s="9"/>
      <c r="M204" s="9"/>
      <c r="N204" s="6"/>
    </row>
    <row r="205" spans="1:14" s="45" customFormat="1" x14ac:dyDescent="0.2">
      <c r="A205" s="44"/>
      <c r="B205" s="41"/>
      <c r="C205" s="6"/>
      <c r="D205" s="6"/>
      <c r="E205" s="6"/>
      <c r="F205" s="8"/>
      <c r="G205" s="6"/>
      <c r="H205" s="6"/>
      <c r="I205" s="9"/>
      <c r="J205" s="9"/>
      <c r="K205" s="9"/>
      <c r="L205" s="9"/>
      <c r="M205" s="9"/>
      <c r="N205" s="6"/>
    </row>
    <row r="206" spans="1:14" s="45" customFormat="1" x14ac:dyDescent="0.2">
      <c r="A206" s="44"/>
      <c r="B206" s="41"/>
      <c r="C206" s="6"/>
      <c r="D206" s="6"/>
      <c r="E206" s="6"/>
      <c r="F206" s="8"/>
      <c r="G206" s="6"/>
      <c r="H206" s="6"/>
      <c r="I206" s="9"/>
      <c r="J206" s="9"/>
      <c r="K206" s="9"/>
      <c r="L206" s="9"/>
      <c r="M206" s="9"/>
      <c r="N206" s="6"/>
    </row>
    <row r="207" spans="1:14" s="45" customFormat="1" x14ac:dyDescent="0.2">
      <c r="A207" s="44"/>
      <c r="B207" s="41"/>
      <c r="C207" s="6"/>
      <c r="D207" s="6"/>
      <c r="E207" s="6"/>
      <c r="F207" s="8"/>
      <c r="G207" s="6"/>
      <c r="H207" s="6"/>
      <c r="I207" s="9"/>
      <c r="J207" s="9"/>
      <c r="K207" s="9"/>
      <c r="L207" s="9"/>
      <c r="M207" s="9"/>
      <c r="N207" s="6"/>
    </row>
    <row r="208" spans="1:14" s="45" customFormat="1" x14ac:dyDescent="0.2">
      <c r="A208" s="44"/>
      <c r="B208" s="41"/>
      <c r="C208" s="6"/>
      <c r="D208" s="6"/>
      <c r="E208" s="6"/>
      <c r="F208" s="8"/>
      <c r="G208" s="6"/>
      <c r="H208" s="6"/>
      <c r="I208" s="9"/>
      <c r="J208" s="9"/>
      <c r="K208" s="9"/>
      <c r="L208" s="9"/>
      <c r="M208" s="9"/>
      <c r="N208" s="6"/>
    </row>
    <row r="209" spans="1:14" s="45" customFormat="1" x14ac:dyDescent="0.2">
      <c r="A209" s="44"/>
      <c r="B209" s="41"/>
      <c r="C209" s="6"/>
      <c r="D209" s="6"/>
      <c r="E209" s="6"/>
      <c r="F209" s="8"/>
      <c r="G209" s="6"/>
      <c r="H209" s="6"/>
      <c r="I209" s="9"/>
      <c r="J209" s="9"/>
      <c r="K209" s="9"/>
      <c r="L209" s="9"/>
      <c r="M209" s="9"/>
      <c r="N209" s="6"/>
    </row>
    <row r="210" spans="1:14" s="45" customFormat="1" x14ac:dyDescent="0.2">
      <c r="A210" s="44"/>
      <c r="B210" s="41"/>
      <c r="C210" s="6"/>
      <c r="D210" s="6"/>
      <c r="E210" s="6"/>
      <c r="F210" s="8"/>
      <c r="G210" s="6"/>
      <c r="H210" s="6"/>
      <c r="I210" s="9"/>
      <c r="J210" s="9"/>
      <c r="K210" s="9"/>
      <c r="L210" s="9"/>
      <c r="M210" s="9"/>
      <c r="N210" s="6"/>
    </row>
    <row r="211" spans="1:14" s="45" customFormat="1" x14ac:dyDescent="0.2">
      <c r="A211" s="44"/>
      <c r="B211" s="41"/>
      <c r="C211" s="6"/>
      <c r="D211" s="6"/>
      <c r="E211" s="6"/>
      <c r="F211" s="8"/>
      <c r="G211" s="6"/>
      <c r="H211" s="6"/>
      <c r="I211" s="9"/>
      <c r="J211" s="9"/>
      <c r="K211" s="9"/>
      <c r="L211" s="9"/>
      <c r="M211" s="9"/>
      <c r="N211" s="6"/>
    </row>
    <row r="212" spans="1:14" s="45" customFormat="1" x14ac:dyDescent="0.2">
      <c r="A212" s="44"/>
      <c r="B212" s="41"/>
      <c r="C212" s="6"/>
      <c r="D212" s="6"/>
      <c r="E212" s="6"/>
      <c r="F212" s="8"/>
      <c r="G212" s="6"/>
      <c r="H212" s="6"/>
      <c r="I212" s="9"/>
      <c r="J212" s="9"/>
      <c r="K212" s="9"/>
      <c r="L212" s="9"/>
      <c r="M212" s="9"/>
      <c r="N212" s="6"/>
    </row>
    <row r="213" spans="1:14" s="45" customFormat="1" x14ac:dyDescent="0.2">
      <c r="A213" s="44"/>
      <c r="B213" s="41"/>
      <c r="C213" s="6"/>
      <c r="D213" s="6"/>
      <c r="E213" s="6"/>
      <c r="F213" s="8"/>
      <c r="G213" s="6"/>
      <c r="H213" s="6"/>
      <c r="I213" s="9"/>
      <c r="J213" s="9"/>
      <c r="K213" s="9"/>
      <c r="L213" s="9"/>
      <c r="M213" s="9"/>
      <c r="N213" s="6"/>
    </row>
    <row r="214" spans="1:14" s="45" customFormat="1" x14ac:dyDescent="0.2">
      <c r="A214" s="44"/>
      <c r="B214" s="41"/>
      <c r="C214" s="6"/>
      <c r="D214" s="6"/>
      <c r="E214" s="6"/>
      <c r="F214" s="8"/>
      <c r="G214" s="6"/>
      <c r="H214" s="6"/>
      <c r="I214" s="9"/>
      <c r="J214" s="9"/>
      <c r="K214" s="9"/>
      <c r="L214" s="9"/>
      <c r="M214" s="9"/>
      <c r="N214" s="6"/>
    </row>
    <row r="215" spans="1:14" s="45" customFormat="1" x14ac:dyDescent="0.2">
      <c r="A215" s="44"/>
      <c r="B215" s="41"/>
      <c r="C215" s="6"/>
      <c r="D215" s="6"/>
      <c r="E215" s="6"/>
      <c r="F215" s="8"/>
      <c r="G215" s="6"/>
      <c r="H215" s="6"/>
      <c r="I215" s="9"/>
      <c r="J215" s="9"/>
      <c r="K215" s="9"/>
      <c r="L215" s="9"/>
      <c r="M215" s="9"/>
      <c r="N215" s="6"/>
    </row>
    <row r="216" spans="1:14" s="45" customFormat="1" x14ac:dyDescent="0.2">
      <c r="A216" s="44"/>
      <c r="B216" s="41"/>
      <c r="C216" s="6"/>
      <c r="D216" s="6"/>
      <c r="E216" s="6"/>
      <c r="F216" s="8"/>
      <c r="G216" s="6"/>
      <c r="H216" s="6"/>
      <c r="I216" s="9"/>
      <c r="J216" s="9"/>
      <c r="K216" s="9"/>
      <c r="L216" s="9"/>
      <c r="M216" s="9"/>
      <c r="N216" s="6"/>
    </row>
    <row r="217" spans="1:14" s="45" customFormat="1" x14ac:dyDescent="0.2">
      <c r="A217" s="44"/>
      <c r="B217" s="41"/>
      <c r="C217" s="6"/>
      <c r="D217" s="6"/>
      <c r="E217" s="6"/>
      <c r="F217" s="8"/>
      <c r="G217" s="6"/>
      <c r="H217" s="6"/>
      <c r="I217" s="9"/>
      <c r="J217" s="9"/>
      <c r="K217" s="9"/>
      <c r="L217" s="9"/>
      <c r="M217" s="9"/>
      <c r="N217" s="6"/>
    </row>
    <row r="218" spans="1:14" s="45" customFormat="1" x14ac:dyDescent="0.2">
      <c r="A218" s="44"/>
      <c r="B218" s="41"/>
      <c r="C218" s="6"/>
      <c r="D218" s="6"/>
      <c r="E218" s="6"/>
      <c r="F218" s="8"/>
      <c r="G218" s="6"/>
      <c r="H218" s="6"/>
      <c r="I218" s="9"/>
      <c r="J218" s="9"/>
      <c r="K218" s="9"/>
      <c r="L218" s="9"/>
      <c r="M218" s="9"/>
      <c r="N218" s="6"/>
    </row>
    <row r="219" spans="1:14" s="45" customFormat="1" x14ac:dyDescent="0.2">
      <c r="A219" s="44"/>
      <c r="B219" s="41"/>
      <c r="C219" s="6"/>
      <c r="D219" s="6"/>
      <c r="E219" s="6"/>
      <c r="F219" s="8"/>
      <c r="G219" s="6"/>
      <c r="H219" s="6"/>
      <c r="I219" s="9"/>
      <c r="J219" s="9"/>
      <c r="K219" s="9"/>
      <c r="L219" s="9"/>
      <c r="M219" s="9"/>
      <c r="N219" s="6"/>
    </row>
    <row r="220" spans="1:14" s="45" customFormat="1" x14ac:dyDescent="0.2">
      <c r="A220" s="44"/>
      <c r="B220" s="41"/>
      <c r="C220" s="6"/>
      <c r="D220" s="6"/>
      <c r="E220" s="6"/>
      <c r="F220" s="8"/>
      <c r="G220" s="6"/>
      <c r="H220" s="6"/>
      <c r="I220" s="9"/>
      <c r="J220" s="9"/>
      <c r="K220" s="9"/>
      <c r="L220" s="9"/>
      <c r="M220" s="9"/>
      <c r="N220" s="6"/>
    </row>
    <row r="221" spans="1:14" s="45" customFormat="1" x14ac:dyDescent="0.2">
      <c r="A221" s="44"/>
      <c r="B221" s="41"/>
      <c r="C221" s="6"/>
      <c r="D221" s="6"/>
      <c r="E221" s="6"/>
      <c r="F221" s="8"/>
      <c r="G221" s="6"/>
      <c r="H221" s="6"/>
      <c r="I221" s="9"/>
      <c r="J221" s="9"/>
      <c r="K221" s="9"/>
      <c r="L221" s="9"/>
      <c r="M221" s="9"/>
      <c r="N221" s="6"/>
    </row>
    <row r="222" spans="1:14" s="45" customFormat="1" x14ac:dyDescent="0.2">
      <c r="A222" s="44"/>
      <c r="B222" s="41"/>
      <c r="C222" s="6"/>
      <c r="D222" s="6"/>
      <c r="E222" s="6"/>
      <c r="F222" s="8"/>
      <c r="G222" s="6"/>
      <c r="H222" s="6"/>
      <c r="I222" s="9"/>
      <c r="J222" s="9"/>
      <c r="K222" s="9"/>
      <c r="L222" s="9"/>
      <c r="M222" s="9"/>
      <c r="N222" s="6"/>
    </row>
    <row r="223" spans="1:14" s="45" customFormat="1" x14ac:dyDescent="0.2">
      <c r="A223" s="44"/>
      <c r="B223" s="41"/>
      <c r="C223" s="6"/>
      <c r="D223" s="6"/>
      <c r="E223" s="6"/>
      <c r="F223" s="8"/>
      <c r="G223" s="6"/>
      <c r="H223" s="6"/>
      <c r="I223" s="9"/>
      <c r="J223" s="9"/>
      <c r="K223" s="9"/>
      <c r="L223" s="9"/>
      <c r="M223" s="9"/>
      <c r="N223" s="6"/>
    </row>
    <row r="224" spans="1:14" s="45" customFormat="1" x14ac:dyDescent="0.2">
      <c r="A224" s="44"/>
      <c r="B224" s="41"/>
      <c r="C224" s="6"/>
      <c r="D224" s="6"/>
      <c r="E224" s="6"/>
      <c r="F224" s="8"/>
      <c r="G224" s="6"/>
      <c r="H224" s="6"/>
      <c r="I224" s="9"/>
      <c r="J224" s="9"/>
      <c r="K224" s="9"/>
      <c r="L224" s="9"/>
      <c r="M224" s="9"/>
      <c r="N224" s="6"/>
    </row>
    <row r="225" spans="1:15" s="45" customFormat="1" x14ac:dyDescent="0.2">
      <c r="A225" s="44"/>
      <c r="B225" s="41"/>
      <c r="C225" s="6"/>
      <c r="D225" s="6"/>
      <c r="E225" s="6"/>
      <c r="F225" s="8"/>
      <c r="G225" s="6"/>
      <c r="H225" s="6"/>
      <c r="I225" s="9"/>
      <c r="J225" s="9"/>
      <c r="K225" s="9"/>
      <c r="L225" s="9"/>
      <c r="M225" s="9"/>
      <c r="N225" s="6"/>
    </row>
    <row r="226" spans="1:15" s="45" customFormat="1" x14ac:dyDescent="0.2">
      <c r="A226" s="44"/>
      <c r="B226" s="41"/>
      <c r="C226" s="6"/>
      <c r="D226" s="6"/>
      <c r="E226" s="6"/>
      <c r="F226" s="8"/>
      <c r="G226" s="6"/>
      <c r="H226" s="6"/>
      <c r="I226" s="9"/>
      <c r="J226" s="9"/>
      <c r="K226" s="9"/>
      <c r="L226" s="9"/>
      <c r="M226" s="9"/>
      <c r="N226" s="6"/>
    </row>
    <row r="227" spans="1:15" s="45" customFormat="1" x14ac:dyDescent="0.2">
      <c r="A227" s="44"/>
      <c r="B227" s="41"/>
      <c r="C227" s="6"/>
      <c r="D227" s="6"/>
      <c r="E227" s="6"/>
      <c r="F227" s="8"/>
      <c r="G227" s="6"/>
      <c r="H227" s="6"/>
      <c r="I227" s="9"/>
      <c r="J227" s="9"/>
      <c r="K227" s="9"/>
      <c r="L227" s="9"/>
      <c r="M227" s="9"/>
      <c r="N227" s="6"/>
    </row>
    <row r="228" spans="1:15" s="45" customFormat="1" x14ac:dyDescent="0.2">
      <c r="A228" s="44"/>
      <c r="B228" s="41"/>
      <c r="C228" s="6"/>
      <c r="D228" s="6"/>
      <c r="E228" s="6"/>
      <c r="F228" s="8"/>
      <c r="G228" s="6"/>
      <c r="H228" s="6"/>
      <c r="I228" s="9"/>
      <c r="J228" s="9"/>
      <c r="K228" s="9"/>
      <c r="L228" s="9"/>
      <c r="M228" s="9"/>
      <c r="N228" s="6"/>
    </row>
    <row r="229" spans="1:15" s="45" customFormat="1" x14ac:dyDescent="0.2">
      <c r="A229" s="44"/>
      <c r="B229" s="41"/>
      <c r="C229" s="6"/>
      <c r="D229" s="6"/>
      <c r="E229" s="6"/>
      <c r="F229" s="8"/>
      <c r="G229" s="6"/>
      <c r="H229" s="6"/>
      <c r="I229" s="9"/>
      <c r="J229" s="9"/>
      <c r="K229" s="9"/>
      <c r="L229" s="9"/>
      <c r="M229" s="9"/>
      <c r="N229" s="6"/>
    </row>
    <row r="230" spans="1:15" s="45" customFormat="1" x14ac:dyDescent="0.2">
      <c r="A230" s="44"/>
      <c r="B230" s="41"/>
      <c r="C230" s="6"/>
      <c r="D230" s="6"/>
      <c r="E230" s="6"/>
      <c r="F230" s="8"/>
      <c r="G230" s="6"/>
      <c r="H230" s="6"/>
      <c r="I230" s="9"/>
      <c r="J230" s="9"/>
      <c r="K230" s="9"/>
      <c r="L230" s="9"/>
      <c r="M230" s="9"/>
      <c r="N230" s="6"/>
    </row>
    <row r="231" spans="1:15" s="45" customFormat="1" x14ac:dyDescent="0.2">
      <c r="A231" s="44"/>
      <c r="B231" s="41"/>
      <c r="C231" s="6"/>
      <c r="D231" s="6"/>
      <c r="E231" s="6"/>
      <c r="F231" s="8"/>
      <c r="G231" s="6"/>
      <c r="H231" s="6"/>
      <c r="I231" s="9"/>
      <c r="J231" s="9"/>
      <c r="K231" s="9"/>
      <c r="L231" s="9"/>
      <c r="M231" s="9"/>
      <c r="N231" s="6"/>
    </row>
    <row r="232" spans="1:15" s="45" customFormat="1" x14ac:dyDescent="0.2">
      <c r="A232" s="44"/>
      <c r="B232" s="41"/>
      <c r="C232" s="6"/>
      <c r="D232" s="6"/>
      <c r="E232" s="6"/>
      <c r="F232" s="8"/>
      <c r="G232" s="6"/>
      <c r="H232" s="6"/>
      <c r="I232" s="9"/>
      <c r="J232" s="9"/>
      <c r="K232" s="9"/>
      <c r="L232" s="9"/>
      <c r="M232" s="9"/>
      <c r="N232" s="6"/>
    </row>
    <row r="233" spans="1:15" s="45" customFormat="1" x14ac:dyDescent="0.2">
      <c r="A233" s="44"/>
      <c r="B233" s="41"/>
      <c r="C233" s="6"/>
      <c r="D233" s="6"/>
      <c r="E233" s="6"/>
      <c r="F233" s="8"/>
      <c r="G233" s="6"/>
      <c r="H233" s="6"/>
      <c r="I233" s="9"/>
      <c r="J233" s="9"/>
      <c r="K233" s="9"/>
      <c r="L233" s="9"/>
      <c r="M233" s="9"/>
      <c r="N233" s="6"/>
    </row>
    <row r="234" spans="1:15" s="45" customFormat="1" x14ac:dyDescent="0.2">
      <c r="A234" s="44"/>
      <c r="B234" s="41"/>
      <c r="C234" s="6"/>
      <c r="D234" s="6"/>
      <c r="E234" s="6"/>
      <c r="F234" s="8"/>
      <c r="G234" s="6"/>
      <c r="H234" s="6"/>
      <c r="I234" s="9"/>
      <c r="J234" s="9"/>
      <c r="K234" s="9"/>
      <c r="L234" s="9"/>
      <c r="M234" s="9"/>
      <c r="N234" s="6"/>
    </row>
    <row r="235" spans="1:15" s="45" customFormat="1" x14ac:dyDescent="0.2">
      <c r="A235" s="44"/>
      <c r="B235" s="41"/>
      <c r="C235" s="6"/>
      <c r="D235" s="6"/>
      <c r="E235" s="6"/>
      <c r="F235" s="8"/>
      <c r="G235" s="6"/>
      <c r="H235" s="6"/>
      <c r="I235" s="9"/>
      <c r="J235" s="9"/>
      <c r="K235" s="9"/>
      <c r="L235" s="9"/>
      <c r="M235" s="9"/>
      <c r="N235" s="6"/>
    </row>
    <row r="236" spans="1:15" x14ac:dyDescent="0.2">
      <c r="A236" s="44"/>
      <c r="B236" s="41"/>
      <c r="O236" s="45"/>
    </row>
    <row r="237" spans="1:15" x14ac:dyDescent="0.2">
      <c r="A237" s="44"/>
      <c r="B237" s="41"/>
      <c r="O237" s="45"/>
    </row>
    <row r="238" spans="1:15" x14ac:dyDescent="0.2">
      <c r="A238" s="44"/>
      <c r="B238" s="41"/>
      <c r="O238" s="45"/>
    </row>
    <row r="239" spans="1:15" x14ac:dyDescent="0.2">
      <c r="A239" s="44"/>
      <c r="B239" s="41"/>
      <c r="O239" s="45"/>
    </row>
  </sheetData>
  <hyperlinks>
    <hyperlink ref="F7" location="'SU A0100'!A1" display="'SU A0100'!A1"/>
    <hyperlink ref="F8" location="SU_01001" display="SU_01001"/>
    <hyperlink ref="F9" location="SU_01002" display="SU_01002"/>
    <hyperlink ref="F10" location="SU_01003" display="SU_01003"/>
    <hyperlink ref="F11" location="SU_01004" display="SU_01004"/>
    <hyperlink ref="F12" location="SU_01005" display="SU_01005"/>
    <hyperlink ref="F14" location="SU_01007" display="SU_01007"/>
    <hyperlink ref="F19" location="SU_A0200" display="SU_A0200"/>
    <hyperlink ref="F20" location="SU_02001" display="SU_02001"/>
    <hyperlink ref="F21:F26" location="SU_01001" display="SU_01001"/>
    <hyperlink ref="F21" location="SU_02002" display="SU_02002"/>
    <hyperlink ref="F22" location="SU_02003" display="SU_02003"/>
    <hyperlink ref="F23" location="SU_02004" display="SU_02004"/>
    <hyperlink ref="F24" location="SU_02005" display="SU_02005"/>
    <hyperlink ref="F26" location="SU_02007" display="SU_02007"/>
    <hyperlink ref="F13" location="SU_01006" display="SU_01006"/>
    <hyperlink ref="F25" location="SU_02006" display="SU_02006"/>
    <hyperlink ref="F31" location="SU_A0300" display="SU_A0300"/>
    <hyperlink ref="F32" location="SU_03001" display="SU_03001"/>
    <hyperlink ref="F33:F38" location="SU_03001" display="SU_03001"/>
    <hyperlink ref="F33" location="SU_03002" display="SU_03002"/>
    <hyperlink ref="F34" location="SU_03003" display="SU_03003"/>
    <hyperlink ref="F35" location="SU_03004" display="SU_03004"/>
    <hyperlink ref="F36" location="SU_03005" display="SU_03005"/>
    <hyperlink ref="F37" location="SU_03006" display="SU_03006"/>
    <hyperlink ref="F38" location="SU_03007" display="SU_03007"/>
    <hyperlink ref="F15:F17" location="SU_01007" display="SU_01007"/>
    <hyperlink ref="F18" location="SU_01011" display="SU_01011"/>
    <hyperlink ref="F15" location="SU_01008" display="SU_01008"/>
    <hyperlink ref="F16" location="SU_01009" display="SU_01009"/>
    <hyperlink ref="F17" location="SU_01010" display="SU_01010"/>
    <hyperlink ref="F27" location="SU_02008" display="SU_02008"/>
    <hyperlink ref="F28" location="SU_02009" display="SU_02009"/>
    <hyperlink ref="F29" location="SU_02010" display="SU_02010"/>
    <hyperlink ref="F30" location="SU_02011" display="SU_02011"/>
    <hyperlink ref="F39" location="SU_03008" display="SU_03008"/>
    <hyperlink ref="F40" location="SU_03009" display="SU_03009"/>
    <hyperlink ref="F41" location="SU_03010" display="SU_03010"/>
    <hyperlink ref="F42" location="SU_03011" display="SU_03011"/>
    <hyperlink ref="F43" location="SU_A0400" display="SU_A0400"/>
    <hyperlink ref="F44" location="SU_04001" display="SU_04001"/>
    <hyperlink ref="F45:F50" location="SU_03001" display="SU_03001"/>
    <hyperlink ref="F45" location="SU_04002" display="SU_04002"/>
    <hyperlink ref="F46" location="SU_04003" display="SU_04003"/>
    <hyperlink ref="F47" location="SU_04004" display="SU_04004"/>
    <hyperlink ref="F48" location="SU_04005" display="SU_04005"/>
    <hyperlink ref="F49" location="SU_03006" display="SU_03006"/>
    <hyperlink ref="F50" location="SU_04007" display="SU_04007"/>
    <hyperlink ref="F52" location="SU_03009" display="SU_03009"/>
    <hyperlink ref="F53" location="SU_03010" display="SU_03010"/>
    <hyperlink ref="F54" location="SU_03011" display="SU_03011"/>
    <hyperlink ref="F51" location="SU_04008" display="SU_04008"/>
    <hyperlink ref="F55" location="'SU A0500'!A1" display="'SU A0500'!A1"/>
    <hyperlink ref="F56" location="SU_05001" display="SU_05001"/>
    <hyperlink ref="F58" location="SU_06001" display="Rocker bushing"/>
    <hyperlink ref="F59" location="SU_06002" display="Rocker spacer"/>
    <hyperlink ref="F60" location="SU_06003" display="Sheets of metal for rocker"/>
    <hyperlink ref="F61" location="SU_06004" display="Front rocker mount"/>
    <hyperlink ref="F63" location="SU_07001" display="SU_07001"/>
    <hyperlink ref="F62" location="SU_A0700" display="SU_A0700"/>
    <hyperlink ref="F65" location="SU_08001" display="Rocker bushing"/>
    <hyperlink ref="F66" location="SU_08002" display="Sheets of metal for rocker"/>
    <hyperlink ref="F67" location="SU_08003" display="Rear rocker mount"/>
    <hyperlink ref="F64" location="SU_A0800" display="Rear Bell Cranck"/>
    <hyperlink ref="F57" location="SU_A0600" display="SU_A0600"/>
    <hyperlink ref="F69" location="SU_09001" display="SU_09001"/>
    <hyperlink ref="F70" location="SU_09002" display="SU_09002"/>
    <hyperlink ref="F68" location="SU_A0900" display="SU_A0900"/>
    <hyperlink ref="F71" location="SU_09003" display="SU_09003"/>
    <hyperlink ref="F72" location="SU_09004" display="SU_09004"/>
    <hyperlink ref="F74" location="SU_10001" display="SU_10001"/>
    <hyperlink ref="F75" location="SU_10002" display="SU_10002"/>
    <hyperlink ref="F73" location="SU_A1000" display="SU_A1000"/>
    <hyperlink ref="F76" location="SU_10003" display="SU_10003"/>
    <hyperlink ref="F77" location="SU_10004" display="SU_10004"/>
    <hyperlink ref="F78" location="SU_10005" display="SU_10005"/>
    <hyperlink ref="F80" location="SU_11001" display="SU_11001"/>
    <hyperlink ref="F81" location="SU_11002" display="SU_11002"/>
    <hyperlink ref="F79" location="SU_A1100" display="SU_A1100"/>
    <hyperlink ref="F82" location="SU_11003" display="SU_11003"/>
    <hyperlink ref="F83" location="SU_11004" display="SU_11004"/>
    <hyperlink ref="F84" location="SU_A1200" display="SU_A1200"/>
    <hyperlink ref="F85" location="SU_12001" display="SU_12001"/>
    <hyperlink ref="F86" location="SU_12002" display="SU_12002"/>
    <hyperlink ref="F87" location="SU_12003" display="SU_12003"/>
    <hyperlink ref="F88" location="SU_12004" display="SU_12004"/>
    <hyperlink ref="F89" location="SU_A1300" display="SU_A1300"/>
    <hyperlink ref="F90" location="SU_13001" display="SU_13001"/>
    <hyperlink ref="F91" location="SU_13002" display="SU_13002"/>
  </hyperlinks>
  <pageMargins left="0.31496062992125984" right="0.31496062992125984" top="0.31496062992125984" bottom="0.39370078740157483" header="0.51181102362204722" footer="0.31496062992125984"/>
  <pageSetup paperSize="9" scale="64" fitToHeight="99" orientation="landscape" horizontalDpi="1200" verticalDpi="1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22.5703125" style="103" customWidth="1"/>
    <col min="2" max="16384" width="11.5703125" style="103"/>
  </cols>
  <sheetData>
    <row r="1" spans="1:2" x14ac:dyDescent="0.3">
      <c r="A1" s="103" t="s">
        <v>89</v>
      </c>
      <c r="B1" s="60" t="s">
        <v>247</v>
      </c>
    </row>
  </sheetData>
  <hyperlinks>
    <hyperlink ref="B1" location="SU_01005" display="SU_01005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8"/>
  <sheetViews>
    <sheetView zoomScale="80" zoomScaleNormal="8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 customWidth="1"/>
    <col min="2" max="2" width="19.140625" style="103" customWidth="1"/>
    <col min="3" max="3" width="32" style="103" customWidth="1"/>
    <col min="4" max="4" width="11.5703125" style="103"/>
    <col min="5" max="5" width="9.28515625" style="103" customWidth="1"/>
    <col min="6" max="6" width="11.5703125" style="103"/>
    <col min="7" max="7" width="38.28515625" style="103" customWidth="1"/>
    <col min="8" max="8" width="9.5703125" style="103" customWidth="1"/>
    <col min="9" max="9" width="23.28515625" style="103" customWidth="1"/>
    <col min="10" max="10" width="11.5703125" style="103"/>
    <col min="11" max="11" width="7.7109375" style="103" customWidth="1"/>
    <col min="12" max="12" width="9.28515625" style="103" customWidth="1"/>
    <col min="13" max="14" width="11.5703125" style="103"/>
    <col min="15" max="15" width="6.7109375" style="103" customWidth="1"/>
    <col min="16" max="16384" width="11.5703125" style="103"/>
  </cols>
  <sheetData>
    <row r="1" spans="1:16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6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SU_08002_m+SU_08002_p</f>
        <v>2.0644187499999997</v>
      </c>
      <c r="O2" s="107"/>
    </row>
    <row r="3" spans="1:16" ht="14.45" x14ac:dyDescent="0.3">
      <c r="A3" s="377" t="s">
        <v>5</v>
      </c>
      <c r="B3" s="104" t="str">
        <f>'SU A0800'!B3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2</v>
      </c>
      <c r="O3" s="107"/>
    </row>
    <row r="4" spans="1:16" ht="14.45" x14ac:dyDescent="0.3">
      <c r="A4" s="377" t="s">
        <v>7</v>
      </c>
      <c r="B4" s="58" t="str">
        <f>'SU A0800'!B4</f>
        <v>Rear Bell Crank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6" ht="14.45" x14ac:dyDescent="0.3">
      <c r="A5" s="377" t="s">
        <v>17</v>
      </c>
      <c r="B5" s="109" t="s">
        <v>394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4.1288374999999995</v>
      </c>
      <c r="O5" s="107"/>
    </row>
    <row r="6" spans="1:16" ht="14.45" x14ac:dyDescent="0.3">
      <c r="A6" s="377" t="s">
        <v>9</v>
      </c>
      <c r="B6" s="103" t="s">
        <v>419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6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6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6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6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6" s="124" customFormat="1" ht="28.9" x14ac:dyDescent="0.3">
      <c r="A11" s="976">
        <v>10</v>
      </c>
      <c r="B11" s="975" t="s">
        <v>110</v>
      </c>
      <c r="C11" s="839" t="s">
        <v>392</v>
      </c>
      <c r="D11" s="173">
        <v>2.25</v>
      </c>
      <c r="E11" s="974">
        <f>L11*J11*K11</f>
        <v>0.15307499999999999</v>
      </c>
      <c r="F11" s="839" t="s">
        <v>43</v>
      </c>
      <c r="G11" s="839"/>
      <c r="H11" s="267"/>
      <c r="I11" s="974" t="s">
        <v>418</v>
      </c>
      <c r="J11" s="973">
        <f>100*65*10^-6</f>
        <v>6.4999999999999997E-3</v>
      </c>
      <c r="K11" s="269">
        <v>3.0000000000000001E-3</v>
      </c>
      <c r="L11" s="972">
        <v>7850</v>
      </c>
      <c r="M11" s="270">
        <v>1</v>
      </c>
      <c r="N11" s="173">
        <f>IF(J11="",D11*M11,D11*J11*K11*L11*M11)</f>
        <v>0.34441874999999994</v>
      </c>
      <c r="O11" s="123"/>
    </row>
    <row r="12" spans="1:16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0.34441874999999994</v>
      </c>
      <c r="O12" s="107"/>
    </row>
    <row r="13" spans="1:16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6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6" ht="28.9" x14ac:dyDescent="0.3">
      <c r="A15" s="970">
        <v>10</v>
      </c>
      <c r="B15" s="971" t="s">
        <v>390</v>
      </c>
      <c r="C15" s="953" t="s">
        <v>389</v>
      </c>
      <c r="D15" s="952">
        <v>1.3</v>
      </c>
      <c r="E15" s="953" t="s">
        <v>72</v>
      </c>
      <c r="F15" s="953">
        <v>1</v>
      </c>
      <c r="G15" s="953" t="s">
        <v>388</v>
      </c>
      <c r="H15" s="953">
        <v>0.25</v>
      </c>
      <c r="I15" s="952">
        <f>D15*F15*H15</f>
        <v>0.32500000000000001</v>
      </c>
      <c r="J15" s="122"/>
      <c r="K15" s="122"/>
      <c r="L15" s="122"/>
      <c r="M15" s="122"/>
      <c r="N15" s="122"/>
      <c r="O15" s="123"/>
      <c r="P15" s="124"/>
    </row>
    <row r="16" spans="1:16" ht="14.45" x14ac:dyDescent="0.3">
      <c r="A16" s="970">
        <v>20</v>
      </c>
      <c r="B16" s="953" t="s">
        <v>92</v>
      </c>
      <c r="C16" s="953" t="s">
        <v>387</v>
      </c>
      <c r="D16" s="952">
        <v>0.01</v>
      </c>
      <c r="E16" s="953" t="s">
        <v>76</v>
      </c>
      <c r="F16" s="953">
        <v>46.5</v>
      </c>
      <c r="G16" s="953" t="s">
        <v>93</v>
      </c>
      <c r="H16" s="953">
        <v>3</v>
      </c>
      <c r="I16" s="952">
        <f>D16*F16*H16</f>
        <v>1.395</v>
      </c>
      <c r="J16" s="105"/>
      <c r="K16" s="105"/>
      <c r="L16" s="105"/>
      <c r="M16" s="105"/>
      <c r="N16" s="105"/>
      <c r="O16" s="107"/>
    </row>
    <row r="17" spans="1:15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58">
        <f>SUM(I15:I16)</f>
        <v>1.72</v>
      </c>
      <c r="J17" s="115"/>
      <c r="K17" s="115"/>
      <c r="L17" s="115"/>
      <c r="M17" s="115"/>
      <c r="N17" s="115"/>
      <c r="O17" s="107"/>
    </row>
    <row r="18" spans="1:15" thickBot="1" x14ac:dyDescent="0.35">
      <c r="A18" s="118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119"/>
      <c r="O18" s="120"/>
    </row>
  </sheetData>
  <hyperlinks>
    <hyperlink ref="E3" location="dSU_08002" display="Drawing"/>
    <hyperlink ref="G2" location="SU_A0800_BOM" display="Back to BOM"/>
    <hyperlink ref="B4" location="SU_A0800" display="SU_A0800"/>
  </hyperlinks>
  <pageMargins left="0.31496062992125984" right="0.31496062992125984" top="0.31496062992125984" bottom="0.39370078740157483" header="0.51181102362204722" footer="0.31496062992125984"/>
  <pageSetup paperSize="9" scale="63" fitToHeight="99" orientation="landscape" horizontalDpi="1200" verticalDpi="1200" r:id="rId1"/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2.140625" style="103" customWidth="1"/>
    <col min="2" max="16384" width="11.5703125" style="103"/>
  </cols>
  <sheetData>
    <row r="1" spans="1:2" x14ac:dyDescent="0.3">
      <c r="A1" s="103" t="s">
        <v>396</v>
      </c>
      <c r="B1" s="60" t="s">
        <v>420</v>
      </c>
    </row>
  </sheetData>
  <hyperlinks>
    <hyperlink ref="B1" location="SU_08002" display="SU_08002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0"/>
  <sheetViews>
    <sheetView zoomScale="70" zoomScaleNormal="7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39.140625" style="103" customWidth="1"/>
    <col min="3" max="3" width="30.85546875" style="103" customWidth="1"/>
    <col min="4" max="6" width="11.5703125" style="103"/>
    <col min="7" max="7" width="36.7109375" style="103" customWidth="1"/>
    <col min="8" max="8" width="11.5703125" style="103"/>
    <col min="9" max="9" width="29.28515625" style="103" customWidth="1"/>
    <col min="10" max="12" width="11.5703125" style="103"/>
    <col min="13" max="13" width="12" style="103" customWidth="1"/>
    <col min="14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990" t="s">
        <v>0</v>
      </c>
      <c r="B2" s="104" t="s">
        <v>1</v>
      </c>
      <c r="C2" s="3"/>
      <c r="D2" s="3"/>
      <c r="E2" s="3"/>
      <c r="F2" s="969" t="s">
        <v>2</v>
      </c>
      <c r="G2" s="3"/>
      <c r="H2" s="3"/>
      <c r="I2" s="3"/>
      <c r="J2" s="989" t="s">
        <v>3</v>
      </c>
      <c r="K2" s="947">
        <v>81</v>
      </c>
      <c r="L2" s="3"/>
      <c r="M2" s="988" t="s">
        <v>18</v>
      </c>
      <c r="N2" s="946">
        <f>SU_08003_m+SU_08003_p</f>
        <v>3.3779399999999997</v>
      </c>
      <c r="O2" s="128"/>
    </row>
    <row r="3" spans="1:15" ht="14.45" x14ac:dyDescent="0.3">
      <c r="A3" s="986" t="s">
        <v>5</v>
      </c>
      <c r="B3" s="104" t="str">
        <f>'SU A0800'!B3</f>
        <v>Suspension &amp; Shocks</v>
      </c>
      <c r="C3" s="3"/>
      <c r="D3" s="988" t="s">
        <v>8</v>
      </c>
      <c r="E3" s="3"/>
      <c r="F3" s="3"/>
      <c r="G3" s="3"/>
      <c r="H3" s="3"/>
      <c r="I3" s="3"/>
      <c r="J3" s="3"/>
      <c r="K3" s="3"/>
      <c r="L3" s="3"/>
      <c r="M3" s="987" t="s">
        <v>6</v>
      </c>
      <c r="N3" s="967">
        <v>1</v>
      </c>
      <c r="O3" s="128"/>
    </row>
    <row r="4" spans="1:15" ht="14.45" x14ac:dyDescent="0.3">
      <c r="A4" s="986" t="s">
        <v>7</v>
      </c>
      <c r="B4" s="58" t="str">
        <f>'SU A0800'!B4</f>
        <v>Rear Bell Crank</v>
      </c>
      <c r="C4" s="3"/>
      <c r="D4" s="987" t="s">
        <v>10</v>
      </c>
      <c r="E4" s="3"/>
      <c r="F4" s="3"/>
      <c r="G4" s="3"/>
      <c r="H4" s="3"/>
      <c r="I4" s="3"/>
      <c r="J4" s="988" t="s">
        <v>8</v>
      </c>
      <c r="K4" s="3"/>
      <c r="L4" s="3"/>
      <c r="M4" s="3"/>
      <c r="N4" s="3"/>
      <c r="O4" s="128"/>
    </row>
    <row r="5" spans="1:15" ht="14.45" x14ac:dyDescent="0.3">
      <c r="A5" s="986" t="s">
        <v>17</v>
      </c>
      <c r="B5" s="889" t="s">
        <v>175</v>
      </c>
      <c r="C5" s="3"/>
      <c r="D5" s="987" t="s">
        <v>14</v>
      </c>
      <c r="E5" s="3"/>
      <c r="F5" s="3"/>
      <c r="G5" s="3"/>
      <c r="H5" s="3"/>
      <c r="I5" s="3"/>
      <c r="J5" s="987" t="s">
        <v>10</v>
      </c>
      <c r="K5" s="3"/>
      <c r="L5" s="3"/>
      <c r="M5" s="988" t="s">
        <v>11</v>
      </c>
      <c r="N5" s="946">
        <f>N2*N3</f>
        <v>3.3779399999999997</v>
      </c>
      <c r="O5" s="128"/>
    </row>
    <row r="6" spans="1:15" ht="14.45" x14ac:dyDescent="0.3">
      <c r="A6" s="986" t="s">
        <v>9</v>
      </c>
      <c r="B6" s="103" t="s">
        <v>422</v>
      </c>
      <c r="C6" s="3"/>
      <c r="D6" s="3"/>
      <c r="E6" s="3"/>
      <c r="F6" s="3"/>
      <c r="G6" s="3"/>
      <c r="H6" s="3"/>
      <c r="I6" s="3"/>
      <c r="J6" s="987" t="s">
        <v>14</v>
      </c>
      <c r="K6" s="3"/>
      <c r="L6" s="3"/>
      <c r="M6" s="3"/>
      <c r="N6" s="3"/>
      <c r="O6" s="128"/>
    </row>
    <row r="7" spans="1:15" ht="14.45" x14ac:dyDescent="0.3">
      <c r="A7" s="986" t="s">
        <v>12</v>
      </c>
      <c r="B7" s="104" t="s">
        <v>13</v>
      </c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128"/>
    </row>
    <row r="8" spans="1:15" ht="14.45" x14ac:dyDescent="0.3">
      <c r="A8" s="986" t="s">
        <v>15</v>
      </c>
      <c r="B8" s="104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128"/>
    </row>
    <row r="9" spans="1:15" ht="14.45" x14ac:dyDescent="0.3">
      <c r="A9" s="945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128"/>
    </row>
    <row r="10" spans="1:15" ht="14.45" x14ac:dyDescent="0.3">
      <c r="A10" s="985" t="s">
        <v>16</v>
      </c>
      <c r="B10" s="984" t="s">
        <v>38</v>
      </c>
      <c r="C10" s="984" t="s">
        <v>22</v>
      </c>
      <c r="D10" s="979" t="s">
        <v>23</v>
      </c>
      <c r="E10" s="979" t="s">
        <v>31</v>
      </c>
      <c r="F10" s="979" t="s">
        <v>32</v>
      </c>
      <c r="G10" s="979" t="s">
        <v>33</v>
      </c>
      <c r="H10" s="979" t="s">
        <v>34</v>
      </c>
      <c r="I10" s="979" t="s">
        <v>39</v>
      </c>
      <c r="J10" s="979" t="s">
        <v>40</v>
      </c>
      <c r="K10" s="979" t="s">
        <v>41</v>
      </c>
      <c r="L10" s="979" t="s">
        <v>42</v>
      </c>
      <c r="M10" s="979" t="s">
        <v>19</v>
      </c>
      <c r="N10" s="979" t="s">
        <v>20</v>
      </c>
      <c r="O10" s="128"/>
    </row>
    <row r="11" spans="1:15" ht="14.45" x14ac:dyDescent="0.3">
      <c r="A11" s="983">
        <v>10</v>
      </c>
      <c r="B11" s="258" t="s">
        <v>110</v>
      </c>
      <c r="C11" s="982" t="s">
        <v>162</v>
      </c>
      <c r="D11" s="952">
        <v>2.25</v>
      </c>
      <c r="E11" s="962">
        <f>J11*K11*L11</f>
        <v>0.36423999999999995</v>
      </c>
      <c r="F11" s="953" t="s">
        <v>43</v>
      </c>
      <c r="G11" s="953"/>
      <c r="H11" s="961"/>
      <c r="I11" s="960" t="s">
        <v>421</v>
      </c>
      <c r="J11" s="960">
        <f>50*58*10^-6</f>
        <v>2.8999999999999998E-3</v>
      </c>
      <c r="K11" s="959">
        <v>1.6E-2</v>
      </c>
      <c r="L11" s="958">
        <v>7850</v>
      </c>
      <c r="M11" s="958">
        <v>1</v>
      </c>
      <c r="N11" s="952">
        <f>D11*E11*M11</f>
        <v>0.81953999999999994</v>
      </c>
      <c r="O11" s="128"/>
    </row>
    <row r="12" spans="1:15" ht="14.45" x14ac:dyDescent="0.3">
      <c r="A12" s="951"/>
      <c r="B12" s="948"/>
      <c r="C12" s="948"/>
      <c r="D12" s="948"/>
      <c r="E12" s="948"/>
      <c r="F12" s="948"/>
      <c r="G12" s="948"/>
      <c r="H12" s="948"/>
      <c r="I12" s="948"/>
      <c r="J12" s="948"/>
      <c r="K12" s="948"/>
      <c r="L12" s="948"/>
      <c r="M12" s="978" t="s">
        <v>20</v>
      </c>
      <c r="N12" s="981">
        <f>N11</f>
        <v>0.81953999999999994</v>
      </c>
      <c r="O12" s="128"/>
    </row>
    <row r="13" spans="1:15" ht="14.45" x14ac:dyDescent="0.3">
      <c r="A13" s="945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128"/>
    </row>
    <row r="14" spans="1:15" ht="14.45" x14ac:dyDescent="0.3">
      <c r="A14" s="980" t="s">
        <v>16</v>
      </c>
      <c r="B14" s="979" t="s">
        <v>21</v>
      </c>
      <c r="C14" s="979" t="s">
        <v>22</v>
      </c>
      <c r="D14" s="979" t="s">
        <v>23</v>
      </c>
      <c r="E14" s="979" t="s">
        <v>24</v>
      </c>
      <c r="F14" s="979" t="s">
        <v>19</v>
      </c>
      <c r="G14" s="979" t="s">
        <v>25</v>
      </c>
      <c r="H14" s="979" t="s">
        <v>26</v>
      </c>
      <c r="I14" s="979" t="s">
        <v>20</v>
      </c>
      <c r="J14" s="948"/>
      <c r="K14" s="948"/>
      <c r="L14" s="948"/>
      <c r="M14" s="948"/>
      <c r="N14" s="948"/>
      <c r="O14" s="128"/>
    </row>
    <row r="15" spans="1:15" ht="14.45" x14ac:dyDescent="0.3">
      <c r="A15" s="954">
        <v>10</v>
      </c>
      <c r="B15" s="953" t="s">
        <v>390</v>
      </c>
      <c r="C15" s="953" t="s">
        <v>389</v>
      </c>
      <c r="D15" s="952">
        <v>1.3</v>
      </c>
      <c r="E15" s="953" t="s">
        <v>72</v>
      </c>
      <c r="F15" s="953">
        <v>1</v>
      </c>
      <c r="G15" s="953" t="s">
        <v>160</v>
      </c>
      <c r="H15" s="953">
        <v>0.5</v>
      </c>
      <c r="I15" s="952">
        <f>D15*F15*H15</f>
        <v>0.65</v>
      </c>
      <c r="J15" s="3"/>
      <c r="K15" s="3"/>
      <c r="L15" s="3"/>
      <c r="M15" s="3"/>
      <c r="N15" s="3"/>
      <c r="O15" s="128"/>
    </row>
    <row r="16" spans="1:15" ht="14.45" x14ac:dyDescent="0.3">
      <c r="A16" s="954">
        <v>20</v>
      </c>
      <c r="B16" s="953" t="s">
        <v>92</v>
      </c>
      <c r="C16" s="953" t="s">
        <v>387</v>
      </c>
      <c r="D16" s="952">
        <v>0.01</v>
      </c>
      <c r="E16" s="953" t="s">
        <v>76</v>
      </c>
      <c r="F16" s="953">
        <v>20</v>
      </c>
      <c r="G16" s="953" t="s">
        <v>93</v>
      </c>
      <c r="H16" s="953">
        <v>3</v>
      </c>
      <c r="I16" s="952">
        <f>D16*F16*H16</f>
        <v>0.60000000000000009</v>
      </c>
      <c r="J16" s="3"/>
      <c r="K16" s="3"/>
      <c r="L16" s="3"/>
      <c r="M16" s="3"/>
      <c r="N16" s="3"/>
      <c r="O16" s="128"/>
    </row>
    <row r="17" spans="1:15" ht="14.45" x14ac:dyDescent="0.3">
      <c r="A17" s="954">
        <v>30</v>
      </c>
      <c r="B17" s="953" t="s">
        <v>81</v>
      </c>
      <c r="C17" s="953"/>
      <c r="D17" s="952">
        <v>1.3</v>
      </c>
      <c r="E17" s="953" t="s">
        <v>72</v>
      </c>
      <c r="F17" s="953">
        <v>1</v>
      </c>
      <c r="G17" s="953"/>
      <c r="H17" s="953"/>
      <c r="I17" s="952">
        <v>1.3</v>
      </c>
      <c r="J17" s="948"/>
      <c r="K17" s="948"/>
      <c r="L17" s="948"/>
      <c r="M17" s="948"/>
      <c r="N17" s="948"/>
      <c r="O17" s="128"/>
    </row>
    <row r="18" spans="1:15" ht="14.45" x14ac:dyDescent="0.3">
      <c r="A18" s="954">
        <v>40</v>
      </c>
      <c r="B18" s="953" t="s">
        <v>100</v>
      </c>
      <c r="C18" s="953" t="s">
        <v>379</v>
      </c>
      <c r="D18" s="952">
        <v>0.04</v>
      </c>
      <c r="E18" s="953" t="s">
        <v>79</v>
      </c>
      <c r="F18" s="953">
        <v>7.0000000000000007E-2</v>
      </c>
      <c r="G18" s="953" t="s">
        <v>93</v>
      </c>
      <c r="H18" s="953">
        <v>3</v>
      </c>
      <c r="I18" s="952">
        <f>D18*F18*H18</f>
        <v>8.4000000000000012E-3</v>
      </c>
      <c r="J18" s="3"/>
      <c r="K18" s="3"/>
      <c r="L18" s="3"/>
      <c r="M18" s="3"/>
      <c r="N18" s="3"/>
      <c r="O18" s="128"/>
    </row>
    <row r="19" spans="1:15" ht="14.45" x14ac:dyDescent="0.3">
      <c r="A19" s="951"/>
      <c r="B19" s="948"/>
      <c r="C19" s="948"/>
      <c r="D19" s="948"/>
      <c r="E19" s="948"/>
      <c r="F19" s="948"/>
      <c r="G19" s="948"/>
      <c r="H19" s="978" t="s">
        <v>20</v>
      </c>
      <c r="I19" s="977">
        <f>SUM(I15:I18)</f>
        <v>2.5583999999999998</v>
      </c>
      <c r="J19" s="105"/>
      <c r="K19" s="105"/>
      <c r="L19" s="105"/>
      <c r="M19" s="105"/>
      <c r="N19" s="105"/>
      <c r="O19" s="128"/>
    </row>
    <row r="20" spans="1:15" thickBot="1" x14ac:dyDescent="0.35">
      <c r="A20" s="138"/>
      <c r="B20" s="139"/>
      <c r="C20" s="139"/>
      <c r="D20" s="139"/>
      <c r="E20" s="139"/>
      <c r="F20" s="139"/>
      <c r="G20" s="139"/>
      <c r="H20" s="139"/>
      <c r="I20" s="139"/>
      <c r="J20" s="139"/>
      <c r="K20" s="139"/>
      <c r="L20" s="139"/>
      <c r="M20" s="139"/>
      <c r="N20" s="139"/>
      <c r="O20" s="140"/>
    </row>
  </sheetData>
  <hyperlinks>
    <hyperlink ref="F2" location="BOM!A1" display="Back to BOM"/>
    <hyperlink ref="B4" location="SU_A0800" display="SU_A0800"/>
  </hyperlinks>
  <pageMargins left="0.31496062992125984" right="0.31496062992125984" top="0.31496062992125984" bottom="0.39370078740157483" header="0.51181102362204722" footer="0.31496062992125984"/>
  <pageSetup paperSize="9" scale="54" fitToHeight="99" orientation="landscape" horizontalDpi="1200" verticalDpi="1200" r:id="rId1"/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1"/>
  <sheetViews>
    <sheetView zoomScale="60" zoomScaleNormal="60" zoomScaleSheetLayoutView="80" zoomScalePageLayoutView="70" workbookViewId="0">
      <selection activeCell="B11" sqref="B11"/>
    </sheetView>
  </sheetViews>
  <sheetFormatPr baseColWidth="10" defaultColWidth="9.140625" defaultRowHeight="15" x14ac:dyDescent="0.25"/>
  <cols>
    <col min="1" max="1" width="9.140625" style="103"/>
    <col min="2" max="2" width="35.28515625" style="103" customWidth="1"/>
    <col min="3" max="3" width="45.85546875" style="103" customWidth="1"/>
    <col min="4" max="13" width="9.140625" style="103"/>
    <col min="14" max="14" width="13" style="103" bestFit="1" customWidth="1"/>
    <col min="15" max="15" width="5.28515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06" t="s">
        <v>0</v>
      </c>
      <c r="B2" s="104" t="s">
        <v>1</v>
      </c>
      <c r="C2" s="105"/>
      <c r="D2" s="105"/>
      <c r="E2" s="58" t="s">
        <v>2</v>
      </c>
      <c r="F2" s="105"/>
      <c r="G2" s="105"/>
      <c r="H2" s="105"/>
      <c r="I2" s="105"/>
      <c r="J2" s="306" t="s">
        <v>3</v>
      </c>
      <c r="K2" s="106">
        <v>81</v>
      </c>
      <c r="L2" s="105"/>
      <c r="M2" s="306" t="s">
        <v>4</v>
      </c>
      <c r="N2" s="59">
        <f>SU_A0900_pa+SU_A0900_m+SU_A0900_p+SU_A0900_f+SU_A0900_t</f>
        <v>18.60049040273827</v>
      </c>
      <c r="O2" s="107"/>
    </row>
    <row r="3" spans="1:15" ht="14.45" x14ac:dyDescent="0.3">
      <c r="A3" s="306" t="s">
        <v>5</v>
      </c>
      <c r="B3" s="104" t="s">
        <v>106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306" t="s">
        <v>6</v>
      </c>
      <c r="N3" s="47">
        <v>2</v>
      </c>
      <c r="O3" s="107"/>
    </row>
    <row r="4" spans="1:15" ht="14.45" x14ac:dyDescent="0.3">
      <c r="A4" s="306" t="s">
        <v>7</v>
      </c>
      <c r="B4" s="129" t="s">
        <v>427</v>
      </c>
      <c r="C4" s="864"/>
      <c r="D4" s="105"/>
      <c r="E4" s="105"/>
      <c r="F4" s="105"/>
      <c r="G4" s="105"/>
      <c r="H4" s="105"/>
      <c r="I4" s="105"/>
      <c r="J4" s="995" t="s">
        <v>8</v>
      </c>
      <c r="K4" s="105"/>
      <c r="L4" s="105"/>
      <c r="M4" s="105"/>
      <c r="N4" s="105"/>
      <c r="O4" s="107"/>
    </row>
    <row r="5" spans="1:15" ht="14.45" x14ac:dyDescent="0.3">
      <c r="A5" s="306" t="s">
        <v>9</v>
      </c>
      <c r="B5" s="108" t="s">
        <v>426</v>
      </c>
      <c r="C5" s="105"/>
      <c r="D5" s="105"/>
      <c r="E5" s="105"/>
      <c r="F5" s="105"/>
      <c r="G5" s="105"/>
      <c r="H5" s="105"/>
      <c r="I5" s="105"/>
      <c r="J5" s="995" t="s">
        <v>10</v>
      </c>
      <c r="K5" s="105"/>
      <c r="L5" s="105"/>
      <c r="M5" s="306" t="s">
        <v>11</v>
      </c>
      <c r="N5" s="67">
        <f>N2*SU_A0900_q</f>
        <v>37.20098080547654</v>
      </c>
      <c r="O5" s="107"/>
    </row>
    <row r="6" spans="1:15" ht="14.45" x14ac:dyDescent="0.3">
      <c r="A6" s="306" t="s">
        <v>12</v>
      </c>
      <c r="B6" s="104" t="s">
        <v>13</v>
      </c>
      <c r="C6" s="105"/>
      <c r="D6" s="105"/>
      <c r="E6" s="105"/>
      <c r="F6" s="105"/>
      <c r="G6" s="105"/>
      <c r="H6" s="105"/>
      <c r="I6" s="105"/>
      <c r="J6" s="995" t="s">
        <v>14</v>
      </c>
      <c r="K6" s="105"/>
      <c r="L6" s="105"/>
      <c r="M6" s="105"/>
      <c r="N6" s="105"/>
      <c r="O6" s="107"/>
    </row>
    <row r="7" spans="1:15" ht="14.45" x14ac:dyDescent="0.3">
      <c r="A7" s="306" t="s">
        <v>15</v>
      </c>
      <c r="B7" s="104" t="s">
        <v>425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116"/>
      <c r="B8" s="105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317" t="s">
        <v>16</v>
      </c>
      <c r="B9" s="317" t="s">
        <v>17</v>
      </c>
      <c r="C9" s="317" t="s">
        <v>18</v>
      </c>
      <c r="D9" s="317" t="s">
        <v>19</v>
      </c>
      <c r="E9" s="317" t="s">
        <v>20</v>
      </c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39">
        <v>10</v>
      </c>
      <c r="B10" s="188" t="s">
        <v>424</v>
      </c>
      <c r="C10" s="167">
        <f>'SU 09001'!N2</f>
        <v>0.31568709849411508</v>
      </c>
      <c r="D10" s="994">
        <v>1</v>
      </c>
      <c r="E10" s="1240">
        <f>C10*D10</f>
        <v>0.31568709849411508</v>
      </c>
      <c r="F10" s="105"/>
      <c r="G10" s="105"/>
      <c r="H10" s="105"/>
      <c r="I10" s="105"/>
      <c r="J10" s="105"/>
      <c r="K10" s="105"/>
      <c r="L10" s="105"/>
      <c r="M10" s="105"/>
      <c r="N10" s="105"/>
      <c r="O10" s="107"/>
    </row>
    <row r="11" spans="1:15" ht="14.45" x14ac:dyDescent="0.3">
      <c r="A11" s="339">
        <v>20</v>
      </c>
      <c r="B11" s="188" t="s">
        <v>423</v>
      </c>
      <c r="C11" s="167">
        <f>'SU 09002'!N2</f>
        <v>1.1510595579918244</v>
      </c>
      <c r="D11" s="994">
        <v>2</v>
      </c>
      <c r="E11" s="1240">
        <f>C11*D11</f>
        <v>2.3021191159836487</v>
      </c>
      <c r="F11" s="105"/>
      <c r="G11" s="105"/>
      <c r="H11" s="105"/>
      <c r="I11" s="105"/>
      <c r="J11" s="105"/>
      <c r="K11" s="105"/>
      <c r="L11" s="105"/>
      <c r="M11" s="105"/>
      <c r="N11" s="105"/>
      <c r="O11" s="107"/>
    </row>
    <row r="12" spans="1:15" ht="14.45" x14ac:dyDescent="0.3">
      <c r="A12" s="339">
        <v>30</v>
      </c>
      <c r="B12" s="992" t="str">
        <f>'SU 09003'!B5</f>
        <v>Spacer 1</v>
      </c>
      <c r="C12" s="167">
        <f>'SU 09004'!N2</f>
        <v>1.0636402027397729</v>
      </c>
      <c r="D12" s="993">
        <v>2</v>
      </c>
      <c r="E12" s="167">
        <f>C12*D12</f>
        <v>2.1272804054795458</v>
      </c>
      <c r="F12" s="129"/>
      <c r="G12" s="129"/>
      <c r="H12" s="129"/>
      <c r="I12" s="129"/>
      <c r="J12" s="129"/>
      <c r="K12" s="129"/>
      <c r="L12" s="129"/>
      <c r="M12" s="129"/>
      <c r="N12" s="129"/>
      <c r="O12" s="55"/>
    </row>
    <row r="13" spans="1:15" ht="14.45" x14ac:dyDescent="0.3">
      <c r="A13" s="339">
        <v>40</v>
      </c>
      <c r="B13" s="992" t="str">
        <f>'SU 09004'!B5</f>
        <v>Spacer 2</v>
      </c>
      <c r="C13" s="167">
        <f>'SU 09003'!N2</f>
        <v>0.23905539548753352</v>
      </c>
      <c r="D13" s="339">
        <v>2</v>
      </c>
      <c r="E13" s="167">
        <f>C13*D13</f>
        <v>0.47811079097506703</v>
      </c>
      <c r="F13" s="129"/>
      <c r="G13" s="129"/>
      <c r="H13" s="129"/>
      <c r="I13" s="129"/>
      <c r="J13" s="129"/>
      <c r="K13" s="129"/>
      <c r="L13" s="129"/>
      <c r="M13" s="129"/>
      <c r="N13" s="129"/>
      <c r="O13" s="55"/>
    </row>
    <row r="14" spans="1:15" ht="14.45" x14ac:dyDescent="0.3">
      <c r="A14" s="116"/>
      <c r="B14" s="105"/>
      <c r="C14" s="105"/>
      <c r="D14" s="308" t="s">
        <v>20</v>
      </c>
      <c r="E14" s="307">
        <f>SUM(E10:E13)</f>
        <v>5.223197410932376</v>
      </c>
      <c r="F14" s="129"/>
      <c r="G14" s="129"/>
      <c r="H14" s="129"/>
      <c r="I14" s="129"/>
      <c r="J14" s="129"/>
      <c r="K14" s="129"/>
      <c r="L14" s="129"/>
      <c r="M14" s="129"/>
      <c r="N14" s="129"/>
      <c r="O14" s="107"/>
    </row>
    <row r="15" spans="1:15" ht="14.45" x14ac:dyDescent="0.3">
      <c r="A15" s="116"/>
      <c r="B15" s="105"/>
      <c r="C15" s="105"/>
      <c r="D15" s="105"/>
      <c r="E15" s="105"/>
      <c r="F15" s="105"/>
      <c r="G15" s="105"/>
      <c r="H15" s="105"/>
      <c r="I15" s="105"/>
      <c r="J15" s="105"/>
      <c r="K15" s="105"/>
      <c r="L15" s="105"/>
      <c r="M15" s="105"/>
      <c r="N15" s="105"/>
      <c r="O15" s="107"/>
    </row>
    <row r="16" spans="1:15" ht="14.45" x14ac:dyDescent="0.3">
      <c r="A16" s="306" t="s">
        <v>16</v>
      </c>
      <c r="B16" s="306" t="s">
        <v>38</v>
      </c>
      <c r="C16" s="306" t="s">
        <v>22</v>
      </c>
      <c r="D16" s="306" t="s">
        <v>23</v>
      </c>
      <c r="E16" s="306" t="s">
        <v>31</v>
      </c>
      <c r="F16" s="306" t="s">
        <v>32</v>
      </c>
      <c r="G16" s="306" t="s">
        <v>33</v>
      </c>
      <c r="H16" s="306" t="s">
        <v>34</v>
      </c>
      <c r="I16" s="306" t="s">
        <v>39</v>
      </c>
      <c r="J16" s="306" t="s">
        <v>40</v>
      </c>
      <c r="K16" s="306" t="s">
        <v>41</v>
      </c>
      <c r="L16" s="306" t="s">
        <v>42</v>
      </c>
      <c r="M16" s="306" t="s">
        <v>19</v>
      </c>
      <c r="N16" s="306" t="s">
        <v>20</v>
      </c>
      <c r="O16" s="107"/>
    </row>
    <row r="17" spans="1:15" ht="14.45" x14ac:dyDescent="0.3">
      <c r="A17" s="1235">
        <v>10</v>
      </c>
      <c r="B17" s="1232" t="s">
        <v>75</v>
      </c>
      <c r="C17" s="1232" t="s">
        <v>541</v>
      </c>
      <c r="D17" s="1234">
        <v>10</v>
      </c>
      <c r="E17" s="1232">
        <v>2.3E-2</v>
      </c>
      <c r="F17" s="1232" t="s">
        <v>73</v>
      </c>
      <c r="G17" s="1232"/>
      <c r="H17" s="1236"/>
      <c r="I17" s="1237"/>
      <c r="J17" s="1238"/>
      <c r="K17" s="1236"/>
      <c r="L17" s="1236"/>
      <c r="M17" s="1238">
        <v>1</v>
      </c>
      <c r="N17" s="1239">
        <f>M17*E17*D17</f>
        <v>0.22999999999999998</v>
      </c>
      <c r="O17" s="107"/>
    </row>
    <row r="18" spans="1:15" s="113" customFormat="1" ht="14.45" x14ac:dyDescent="0.3">
      <c r="A18" s="134">
        <v>20</v>
      </c>
      <c r="B18" s="1205" t="s">
        <v>127</v>
      </c>
      <c r="C18" s="1205" t="s">
        <v>542</v>
      </c>
      <c r="D18" s="242">
        <v>2.5</v>
      </c>
      <c r="E18" s="1205">
        <v>8</v>
      </c>
      <c r="F18" s="1205" t="s">
        <v>35</v>
      </c>
      <c r="G18" s="1205"/>
      <c r="H18" s="232"/>
      <c r="I18" s="1206" t="s">
        <v>129</v>
      </c>
      <c r="J18" s="233"/>
      <c r="K18" s="232"/>
      <c r="L18" s="232"/>
      <c r="M18" s="233">
        <v>1</v>
      </c>
      <c r="N18" s="1207">
        <f>IF(J18="",D18*M18,D18*J18*K18*L18*M18)</f>
        <v>2.5</v>
      </c>
      <c r="O18" s="112"/>
    </row>
    <row r="19" spans="1:15" s="113" customFormat="1" ht="14.45" x14ac:dyDescent="0.3">
      <c r="A19" s="134">
        <v>30</v>
      </c>
      <c r="B19" s="1205" t="s">
        <v>127</v>
      </c>
      <c r="C19" s="1205" t="s">
        <v>543</v>
      </c>
      <c r="D19" s="242">
        <v>2.5</v>
      </c>
      <c r="E19" s="1205">
        <v>8</v>
      </c>
      <c r="F19" s="1205" t="s">
        <v>35</v>
      </c>
      <c r="G19" s="1205"/>
      <c r="H19" s="232"/>
      <c r="I19" s="1208" t="s">
        <v>129</v>
      </c>
      <c r="J19" s="233"/>
      <c r="K19" s="232"/>
      <c r="L19" s="235"/>
      <c r="M19" s="233">
        <v>1</v>
      </c>
      <c r="N19" s="1207">
        <f>IF(J19="",D19*M19,D19*J19*K19*L19*M19)</f>
        <v>2.5</v>
      </c>
      <c r="O19" s="112"/>
    </row>
    <row r="20" spans="1:15" ht="14.45" x14ac:dyDescent="0.3">
      <c r="A20" s="114"/>
      <c r="B20" s="991"/>
      <c r="C20" s="115"/>
      <c r="D20" s="115"/>
      <c r="E20" s="115"/>
      <c r="F20" s="115"/>
      <c r="G20" s="115"/>
      <c r="H20" s="115"/>
      <c r="I20" s="115"/>
      <c r="J20" s="115"/>
      <c r="K20" s="115"/>
      <c r="L20" s="115"/>
      <c r="M20" s="306" t="s">
        <v>20</v>
      </c>
      <c r="N20" s="318">
        <f>SUM(N17:N19)</f>
        <v>5.23</v>
      </c>
      <c r="O20" s="107"/>
    </row>
    <row r="21" spans="1:15" ht="14.45" x14ac:dyDescent="0.3">
      <c r="A21" s="116"/>
      <c r="B21" s="105"/>
      <c r="C21" s="105"/>
      <c r="D21" s="105"/>
      <c r="E21" s="105"/>
      <c r="F21" s="105"/>
      <c r="G21" s="105"/>
      <c r="H21" s="105"/>
      <c r="I21" s="105"/>
      <c r="J21" s="105"/>
      <c r="K21" s="105"/>
      <c r="L21" s="105"/>
      <c r="M21" s="105"/>
      <c r="N21" s="105"/>
      <c r="O21" s="107"/>
    </row>
    <row r="22" spans="1:15" s="124" customFormat="1" ht="14.45" x14ac:dyDescent="0.3">
      <c r="A22" s="306" t="s">
        <v>16</v>
      </c>
      <c r="B22" s="306" t="s">
        <v>21</v>
      </c>
      <c r="C22" s="306" t="s">
        <v>22</v>
      </c>
      <c r="D22" s="306" t="s">
        <v>23</v>
      </c>
      <c r="E22" s="306" t="s">
        <v>24</v>
      </c>
      <c r="F22" s="306" t="s">
        <v>19</v>
      </c>
      <c r="G22" s="306" t="s">
        <v>25</v>
      </c>
      <c r="H22" s="306" t="s">
        <v>26</v>
      </c>
      <c r="I22" s="306" t="s">
        <v>20</v>
      </c>
      <c r="J22" s="115"/>
      <c r="K22" s="115"/>
      <c r="L22" s="115"/>
      <c r="M22" s="115"/>
      <c r="N22" s="115"/>
      <c r="O22" s="123"/>
    </row>
    <row r="23" spans="1:15" ht="14.45" x14ac:dyDescent="0.3">
      <c r="A23" s="1232">
        <v>10</v>
      </c>
      <c r="B23" s="1233" t="s">
        <v>86</v>
      </c>
      <c r="C23" s="1233" t="s">
        <v>544</v>
      </c>
      <c r="D23" s="1234">
        <v>0.15</v>
      </c>
      <c r="E23" s="1232" t="s">
        <v>76</v>
      </c>
      <c r="F23" s="1232">
        <v>3</v>
      </c>
      <c r="G23" s="1232" t="s">
        <v>204</v>
      </c>
      <c r="H23" s="1232">
        <v>2</v>
      </c>
      <c r="I23" s="1234">
        <f t="shared" ref="I23:I35" si="0">D23*F23*H23</f>
        <v>0.89999999999999991</v>
      </c>
      <c r="J23" s="105"/>
      <c r="K23" s="105"/>
      <c r="L23" s="105"/>
      <c r="M23" s="105"/>
      <c r="N23" s="105"/>
      <c r="O23" s="107"/>
    </row>
    <row r="24" spans="1:15" ht="14.45" x14ac:dyDescent="0.3">
      <c r="A24" s="1205">
        <v>20</v>
      </c>
      <c r="B24" s="1209" t="s">
        <v>155</v>
      </c>
      <c r="C24" s="1209" t="s">
        <v>545</v>
      </c>
      <c r="D24" s="242">
        <v>5.25</v>
      </c>
      <c r="E24" s="1205" t="s">
        <v>73</v>
      </c>
      <c r="F24" s="1205">
        <v>2.3E-2</v>
      </c>
      <c r="G24" s="1205"/>
      <c r="H24" s="1205">
        <v>1</v>
      </c>
      <c r="I24" s="242">
        <f t="shared" si="0"/>
        <v>0.12075</v>
      </c>
      <c r="J24" s="105"/>
      <c r="K24" s="105"/>
      <c r="L24" s="105"/>
      <c r="M24" s="105"/>
      <c r="N24" s="105"/>
      <c r="O24" s="107"/>
    </row>
    <row r="25" spans="1:15" ht="14.45" x14ac:dyDescent="0.3">
      <c r="A25" s="1205">
        <v>30</v>
      </c>
      <c r="B25" s="1210" t="s">
        <v>101</v>
      </c>
      <c r="C25" s="1209" t="s">
        <v>134</v>
      </c>
      <c r="D25" s="242">
        <v>0.12</v>
      </c>
      <c r="E25" s="1205" t="s">
        <v>72</v>
      </c>
      <c r="F25" s="1205">
        <v>2</v>
      </c>
      <c r="G25" s="1205"/>
      <c r="H25" s="1205">
        <v>1</v>
      </c>
      <c r="I25" s="242">
        <f t="shared" si="0"/>
        <v>0.24</v>
      </c>
      <c r="J25" s="105"/>
      <c r="K25" s="105"/>
      <c r="L25" s="105"/>
      <c r="M25" s="105"/>
      <c r="N25" s="105"/>
      <c r="O25" s="107"/>
    </row>
    <row r="26" spans="1:15" ht="14.45" x14ac:dyDescent="0.3">
      <c r="A26" s="1205">
        <v>40</v>
      </c>
      <c r="B26" s="1210" t="s">
        <v>135</v>
      </c>
      <c r="C26" s="1209" t="s">
        <v>546</v>
      </c>
      <c r="D26" s="242">
        <v>0.5</v>
      </c>
      <c r="E26" s="1205" t="s">
        <v>72</v>
      </c>
      <c r="F26" s="1205">
        <v>2</v>
      </c>
      <c r="G26" s="1205"/>
      <c r="H26" s="1205">
        <v>1</v>
      </c>
      <c r="I26" s="242">
        <f t="shared" si="0"/>
        <v>1</v>
      </c>
      <c r="J26" s="105"/>
      <c r="K26" s="105"/>
      <c r="L26" s="105"/>
      <c r="M26" s="105"/>
      <c r="N26" s="105"/>
      <c r="O26" s="107"/>
    </row>
    <row r="27" spans="1:15" ht="14.45" x14ac:dyDescent="0.3">
      <c r="A27" s="1205">
        <v>50</v>
      </c>
      <c r="B27" s="1210" t="s">
        <v>28</v>
      </c>
      <c r="C27" s="1209" t="s">
        <v>136</v>
      </c>
      <c r="D27" s="242">
        <v>0.75</v>
      </c>
      <c r="E27" s="1205" t="s">
        <v>72</v>
      </c>
      <c r="F27" s="1205">
        <v>2</v>
      </c>
      <c r="G27" s="1205"/>
      <c r="H27" s="1205">
        <v>1</v>
      </c>
      <c r="I27" s="242">
        <f>D27*F27*H27</f>
        <v>1.5</v>
      </c>
      <c r="J27" s="105"/>
      <c r="K27" s="105"/>
      <c r="L27" s="105"/>
      <c r="M27" s="105"/>
      <c r="N27" s="105"/>
      <c r="O27" s="107"/>
    </row>
    <row r="28" spans="1:15" ht="14.45" x14ac:dyDescent="0.3">
      <c r="A28" s="1205">
        <v>60</v>
      </c>
      <c r="B28" s="1210" t="s">
        <v>137</v>
      </c>
      <c r="C28" s="1209" t="s">
        <v>136</v>
      </c>
      <c r="D28" s="242">
        <v>0.25</v>
      </c>
      <c r="E28" s="1205" t="s">
        <v>72</v>
      </c>
      <c r="F28" s="1205">
        <v>2</v>
      </c>
      <c r="G28" s="1205"/>
      <c r="H28" s="1205">
        <v>1</v>
      </c>
      <c r="I28" s="242">
        <f>D28*F28*H28</f>
        <v>0.5</v>
      </c>
      <c r="J28" s="105"/>
      <c r="K28" s="105"/>
      <c r="L28" s="105"/>
      <c r="M28" s="105"/>
      <c r="N28" s="105"/>
      <c r="O28" s="107"/>
    </row>
    <row r="29" spans="1:15" ht="14.45" x14ac:dyDescent="0.3">
      <c r="A29" s="1205">
        <v>70</v>
      </c>
      <c r="B29" s="1209" t="s">
        <v>97</v>
      </c>
      <c r="C29" s="1209" t="s">
        <v>547</v>
      </c>
      <c r="D29" s="242">
        <v>0.06</v>
      </c>
      <c r="E29" s="1205" t="s">
        <v>72</v>
      </c>
      <c r="F29" s="1205">
        <v>2</v>
      </c>
      <c r="G29" s="1205"/>
      <c r="H29" s="1205">
        <v>1</v>
      </c>
      <c r="I29" s="242">
        <f t="shared" si="0"/>
        <v>0.12</v>
      </c>
      <c r="J29" s="105"/>
      <c r="K29" s="105"/>
      <c r="L29" s="105"/>
      <c r="M29" s="105"/>
      <c r="N29" s="105"/>
      <c r="O29" s="107"/>
    </row>
    <row r="30" spans="1:15" ht="14.45" x14ac:dyDescent="0.3">
      <c r="A30" s="1205">
        <v>80</v>
      </c>
      <c r="B30" s="1210" t="s">
        <v>101</v>
      </c>
      <c r="C30" s="1209" t="s">
        <v>548</v>
      </c>
      <c r="D30" s="242">
        <v>0.12</v>
      </c>
      <c r="E30" s="1205" t="s">
        <v>72</v>
      </c>
      <c r="F30" s="1205">
        <v>1</v>
      </c>
      <c r="G30" s="1205"/>
      <c r="H30" s="1205">
        <v>1</v>
      </c>
      <c r="I30" s="242">
        <f t="shared" si="0"/>
        <v>0.12</v>
      </c>
      <c r="J30" s="105"/>
      <c r="K30" s="105"/>
      <c r="L30" s="105"/>
      <c r="M30" s="105"/>
      <c r="N30" s="105"/>
      <c r="O30" s="107"/>
    </row>
    <row r="31" spans="1:15" ht="14.45" x14ac:dyDescent="0.3">
      <c r="A31" s="1205">
        <v>90</v>
      </c>
      <c r="B31" s="1205" t="s">
        <v>97</v>
      </c>
      <c r="C31" s="1209" t="s">
        <v>549</v>
      </c>
      <c r="D31" s="242">
        <v>0.06</v>
      </c>
      <c r="E31" s="1205" t="s">
        <v>72</v>
      </c>
      <c r="F31" s="1205">
        <v>1</v>
      </c>
      <c r="G31" s="1205"/>
      <c r="H31" s="1205">
        <v>1</v>
      </c>
      <c r="I31" s="242">
        <f t="shared" si="0"/>
        <v>0.06</v>
      </c>
      <c r="J31" s="105"/>
      <c r="K31" s="105"/>
      <c r="L31" s="105"/>
      <c r="M31" s="105"/>
      <c r="N31" s="105"/>
      <c r="O31" s="107"/>
    </row>
    <row r="32" spans="1:15" s="149" customFormat="1" ht="14.45" x14ac:dyDescent="0.3">
      <c r="A32" s="1205">
        <v>100</v>
      </c>
      <c r="B32" s="1210" t="s">
        <v>101</v>
      </c>
      <c r="C32" s="1209" t="s">
        <v>550</v>
      </c>
      <c r="D32" s="242">
        <v>0.12</v>
      </c>
      <c r="E32" s="1205" t="s">
        <v>72</v>
      </c>
      <c r="F32" s="1205">
        <v>1</v>
      </c>
      <c r="G32" s="1205"/>
      <c r="H32" s="1205">
        <v>1</v>
      </c>
      <c r="I32" s="242">
        <f t="shared" si="0"/>
        <v>0.12</v>
      </c>
      <c r="J32" s="129"/>
      <c r="K32" s="129"/>
      <c r="L32" s="129"/>
      <c r="M32" s="129"/>
      <c r="N32" s="129"/>
      <c r="O32" s="148"/>
    </row>
    <row r="33" spans="1:15" s="124" customFormat="1" ht="14.45" x14ac:dyDescent="0.3">
      <c r="A33" s="1205">
        <v>110</v>
      </c>
      <c r="B33" s="1210" t="s">
        <v>101</v>
      </c>
      <c r="C33" s="1209" t="s">
        <v>142</v>
      </c>
      <c r="D33" s="242">
        <v>0.12</v>
      </c>
      <c r="E33" s="1205" t="s">
        <v>72</v>
      </c>
      <c r="F33" s="1205">
        <v>2</v>
      </c>
      <c r="G33" s="1205"/>
      <c r="H33" s="1205">
        <v>1</v>
      </c>
      <c r="I33" s="242">
        <f t="shared" si="0"/>
        <v>0.24</v>
      </c>
      <c r="J33" s="129"/>
      <c r="K33" s="129"/>
      <c r="L33" s="129"/>
      <c r="M33" s="129"/>
      <c r="N33" s="129"/>
      <c r="O33" s="123"/>
    </row>
    <row r="34" spans="1:15" s="124" customFormat="1" ht="14.45" x14ac:dyDescent="0.3">
      <c r="A34" s="1205">
        <v>120</v>
      </c>
      <c r="B34" s="1210" t="s">
        <v>28</v>
      </c>
      <c r="C34" s="1209" t="s">
        <v>136</v>
      </c>
      <c r="D34" s="242">
        <v>0.75</v>
      </c>
      <c r="E34" s="1205" t="s">
        <v>72</v>
      </c>
      <c r="F34" s="1205">
        <v>2</v>
      </c>
      <c r="G34" s="1205"/>
      <c r="H34" s="1205">
        <v>1</v>
      </c>
      <c r="I34" s="242">
        <f>D34*F34*H34</f>
        <v>1.5</v>
      </c>
      <c r="J34" s="129"/>
      <c r="K34" s="129"/>
      <c r="L34" s="129"/>
      <c r="M34" s="129"/>
      <c r="N34" s="129"/>
      <c r="O34" s="123"/>
    </row>
    <row r="35" spans="1:15" s="149" customFormat="1" ht="14.45" customHeight="1" x14ac:dyDescent="0.3">
      <c r="A35" s="1205">
        <v>130</v>
      </c>
      <c r="B35" s="1210" t="s">
        <v>137</v>
      </c>
      <c r="C35" s="1209" t="s">
        <v>136</v>
      </c>
      <c r="D35" s="242">
        <v>0.25</v>
      </c>
      <c r="E35" s="1205" t="s">
        <v>72</v>
      </c>
      <c r="F35" s="1205">
        <v>2</v>
      </c>
      <c r="G35" s="1205"/>
      <c r="H35" s="1205">
        <v>1</v>
      </c>
      <c r="I35" s="242">
        <f t="shared" si="0"/>
        <v>0.5</v>
      </c>
      <c r="J35" s="129"/>
      <c r="K35" s="129"/>
      <c r="L35" s="129"/>
      <c r="M35" s="129"/>
      <c r="N35" s="129"/>
      <c r="O35" s="148"/>
    </row>
    <row r="36" spans="1:15" ht="14.45" x14ac:dyDescent="0.3">
      <c r="A36" s="114"/>
      <c r="B36" s="115"/>
      <c r="C36" s="115"/>
      <c r="D36" s="115"/>
      <c r="E36" s="115"/>
      <c r="F36" s="115"/>
      <c r="G36" s="115"/>
      <c r="H36" s="319" t="s">
        <v>20</v>
      </c>
      <c r="I36" s="1231">
        <f>SUM(I23:I35)</f>
        <v>6.92075</v>
      </c>
      <c r="J36" s="105"/>
      <c r="K36" s="105"/>
      <c r="L36" s="105"/>
      <c r="M36" s="105"/>
      <c r="N36" s="105"/>
      <c r="O36" s="107"/>
    </row>
    <row r="37" spans="1:15" ht="14.45" x14ac:dyDescent="0.3">
      <c r="A37" s="116"/>
      <c r="B37" s="105"/>
      <c r="C37" s="105"/>
      <c r="D37" s="105"/>
      <c r="E37" s="105"/>
      <c r="F37" s="105"/>
      <c r="G37" s="105"/>
      <c r="H37" s="105"/>
      <c r="I37" s="105"/>
      <c r="J37" s="105"/>
      <c r="K37" s="105"/>
      <c r="L37" s="105"/>
      <c r="M37" s="105"/>
      <c r="N37" s="105"/>
      <c r="O37" s="107"/>
    </row>
    <row r="38" spans="1:15" ht="14.45" x14ac:dyDescent="0.3">
      <c r="A38" s="306" t="s">
        <v>16</v>
      </c>
      <c r="B38" s="306" t="s">
        <v>30</v>
      </c>
      <c r="C38" s="306" t="s">
        <v>22</v>
      </c>
      <c r="D38" s="306" t="s">
        <v>23</v>
      </c>
      <c r="E38" s="306" t="s">
        <v>31</v>
      </c>
      <c r="F38" s="306" t="s">
        <v>32</v>
      </c>
      <c r="G38" s="306" t="s">
        <v>33</v>
      </c>
      <c r="H38" s="306" t="s">
        <v>34</v>
      </c>
      <c r="I38" s="306" t="s">
        <v>19</v>
      </c>
      <c r="J38" s="306" t="s">
        <v>20</v>
      </c>
      <c r="K38" s="105"/>
      <c r="L38" s="105"/>
      <c r="M38" s="105"/>
      <c r="N38" s="105"/>
      <c r="O38" s="107"/>
    </row>
    <row r="39" spans="1:15" ht="14.45" x14ac:dyDescent="0.3">
      <c r="A39" s="134">
        <v>10</v>
      </c>
      <c r="B39" s="134" t="s">
        <v>71</v>
      </c>
      <c r="C39" s="134" t="s">
        <v>559</v>
      </c>
      <c r="D39" s="137">
        <f>0.8/105154*E39^2*G39*SQRT(G39)+0.003*EXP(0.319*E39)</f>
        <v>0.18547981844542938</v>
      </c>
      <c r="E39" s="49">
        <v>8</v>
      </c>
      <c r="F39" s="49" t="s">
        <v>35</v>
      </c>
      <c r="G39" s="49">
        <v>45</v>
      </c>
      <c r="H39" s="49" t="s">
        <v>35</v>
      </c>
      <c r="I39" s="47">
        <v>1</v>
      </c>
      <c r="J39" s="46">
        <f>D39*I39</f>
        <v>0.18547981844542938</v>
      </c>
      <c r="K39" s="105"/>
      <c r="L39" s="105"/>
      <c r="M39" s="105"/>
      <c r="N39" s="105"/>
      <c r="O39" s="107"/>
    </row>
    <row r="40" spans="1:15" ht="14.45" x14ac:dyDescent="0.3">
      <c r="A40" s="134">
        <f>A39+10</f>
        <v>20</v>
      </c>
      <c r="B40" s="134" t="s">
        <v>71</v>
      </c>
      <c r="C40" s="134" t="s">
        <v>560</v>
      </c>
      <c r="D40" s="137">
        <f>0.8/105154*E40^2*G40*SQRT(G40)+0.003*EXP(0.319*E40)</f>
        <v>0.18547981844542938</v>
      </c>
      <c r="E40" s="49">
        <v>8</v>
      </c>
      <c r="F40" s="49" t="s">
        <v>35</v>
      </c>
      <c r="G40" s="49">
        <v>45</v>
      </c>
      <c r="H40" s="49" t="s">
        <v>35</v>
      </c>
      <c r="I40" s="47">
        <v>1</v>
      </c>
      <c r="J40" s="46">
        <f>D40*I40</f>
        <v>0.18547981844542938</v>
      </c>
      <c r="K40" s="105"/>
      <c r="L40" s="105"/>
      <c r="M40" s="105"/>
      <c r="N40" s="105"/>
      <c r="O40" s="107"/>
    </row>
    <row r="41" spans="1:15" x14ac:dyDescent="0.25">
      <c r="A41" s="134">
        <f>A40+10</f>
        <v>30</v>
      </c>
      <c r="B41" s="134" t="s">
        <v>37</v>
      </c>
      <c r="C41" s="134"/>
      <c r="D41" s="137">
        <v>0.01</v>
      </c>
      <c r="E41" s="134">
        <v>8</v>
      </c>
      <c r="F41" s="48" t="s">
        <v>72</v>
      </c>
      <c r="G41" s="134"/>
      <c r="H41" s="134"/>
      <c r="I41" s="47">
        <v>4</v>
      </c>
      <c r="J41" s="46">
        <f>D41*I41</f>
        <v>0.04</v>
      </c>
      <c r="K41" s="105"/>
      <c r="L41" s="105"/>
      <c r="M41" s="105"/>
      <c r="N41" s="105"/>
      <c r="O41" s="107"/>
    </row>
    <row r="42" spans="1:15" x14ac:dyDescent="0.25">
      <c r="A42" s="134">
        <f>A41+10</f>
        <v>40</v>
      </c>
      <c r="B42" s="134" t="s">
        <v>36</v>
      </c>
      <c r="C42" s="134" t="s">
        <v>143</v>
      </c>
      <c r="D42" s="137">
        <f>0.009*EXP(0.2*E42)</f>
        <v>2.9881052304628931E-2</v>
      </c>
      <c r="E42" s="134">
        <v>6</v>
      </c>
      <c r="F42" s="48" t="s">
        <v>35</v>
      </c>
      <c r="G42" s="134"/>
      <c r="H42" s="134"/>
      <c r="I42" s="47">
        <v>2</v>
      </c>
      <c r="J42" s="46">
        <f>D42*I42</f>
        <v>5.9762104609257863E-2</v>
      </c>
      <c r="K42" s="105"/>
      <c r="L42" s="105"/>
      <c r="M42" s="105"/>
      <c r="N42" s="105"/>
      <c r="O42" s="107"/>
    </row>
    <row r="43" spans="1:15" x14ac:dyDescent="0.25">
      <c r="A43" s="134">
        <f>A42+10</f>
        <v>50</v>
      </c>
      <c r="B43" s="134" t="s">
        <v>36</v>
      </c>
      <c r="C43" s="134" t="s">
        <v>144</v>
      </c>
      <c r="D43" s="137">
        <f>0.009*EXP(0.2*E43)</f>
        <v>4.4577291819556032E-2</v>
      </c>
      <c r="E43" s="134">
        <v>8</v>
      </c>
      <c r="F43" s="48" t="s">
        <v>35</v>
      </c>
      <c r="G43" s="134"/>
      <c r="H43" s="134"/>
      <c r="I43" s="47">
        <v>2</v>
      </c>
      <c r="J43" s="46">
        <f>D43*I43</f>
        <v>8.9154583639112064E-2</v>
      </c>
      <c r="K43" s="105"/>
      <c r="L43" s="105"/>
      <c r="M43" s="105"/>
      <c r="N43" s="105"/>
      <c r="O43" s="107"/>
    </row>
    <row r="44" spans="1:15" x14ac:dyDescent="0.25">
      <c r="A44" s="114"/>
      <c r="B44" s="115"/>
      <c r="C44" s="115"/>
      <c r="D44" s="115"/>
      <c r="E44" s="115"/>
      <c r="F44" s="115"/>
      <c r="G44" s="115"/>
      <c r="H44" s="115"/>
      <c r="I44" s="319" t="s">
        <v>20</v>
      </c>
      <c r="J44" s="318">
        <f>SUM(J39:J43)</f>
        <v>0.55987632513922869</v>
      </c>
      <c r="K44" s="105"/>
      <c r="L44" s="105"/>
      <c r="M44" s="105"/>
      <c r="N44" s="105"/>
      <c r="O44" s="107"/>
    </row>
    <row r="45" spans="1:15" x14ac:dyDescent="0.25">
      <c r="A45" s="116"/>
      <c r="B45" s="105"/>
      <c r="C45" s="105"/>
      <c r="D45" s="105"/>
      <c r="E45" s="105"/>
      <c r="F45" s="105"/>
      <c r="G45" s="105"/>
      <c r="H45" s="105"/>
      <c r="I45" s="105"/>
      <c r="J45" s="105"/>
      <c r="K45" s="105"/>
      <c r="L45" s="105"/>
      <c r="M45" s="105"/>
      <c r="N45" s="105"/>
      <c r="O45" s="107"/>
    </row>
    <row r="46" spans="1:15" x14ac:dyDescent="0.25">
      <c r="A46" s="306" t="s">
        <v>16</v>
      </c>
      <c r="B46" s="306" t="s">
        <v>70</v>
      </c>
      <c r="C46" s="306" t="s">
        <v>22</v>
      </c>
      <c r="D46" s="306" t="s">
        <v>23</v>
      </c>
      <c r="E46" s="306" t="s">
        <v>24</v>
      </c>
      <c r="F46" s="306" t="s">
        <v>19</v>
      </c>
      <c r="G46" s="306" t="s">
        <v>69</v>
      </c>
      <c r="H46" s="306" t="s">
        <v>68</v>
      </c>
      <c r="I46" s="306" t="s">
        <v>20</v>
      </c>
      <c r="J46" s="105"/>
      <c r="K46" s="105"/>
      <c r="L46" s="105"/>
      <c r="M46" s="105"/>
      <c r="N46" s="105"/>
      <c r="O46" s="107"/>
    </row>
    <row r="47" spans="1:15" x14ac:dyDescent="0.25">
      <c r="A47" s="1232">
        <v>10</v>
      </c>
      <c r="B47" s="1241" t="s">
        <v>67</v>
      </c>
      <c r="C47" s="1233" t="s">
        <v>544</v>
      </c>
      <c r="D47" s="1234">
        <v>500</v>
      </c>
      <c r="E47" s="1232" t="s">
        <v>66</v>
      </c>
      <c r="F47" s="1232">
        <v>4</v>
      </c>
      <c r="G47" s="1232">
        <v>3000</v>
      </c>
      <c r="H47" s="1232">
        <v>1</v>
      </c>
      <c r="I47" s="1239">
        <f>F47*D47/G47*H47</f>
        <v>0.66666666666666663</v>
      </c>
      <c r="J47" s="105"/>
      <c r="K47" s="105"/>
      <c r="L47" s="105"/>
      <c r="M47" s="105"/>
      <c r="N47" s="105"/>
      <c r="O47" s="107"/>
    </row>
    <row r="48" spans="1:15" x14ac:dyDescent="0.25">
      <c r="A48" s="1"/>
      <c r="B48" s="1"/>
      <c r="C48" s="1"/>
      <c r="D48" s="1"/>
      <c r="E48" s="1"/>
      <c r="F48" s="1"/>
      <c r="G48" s="1"/>
      <c r="H48" s="306" t="s">
        <v>20</v>
      </c>
      <c r="I48" s="318">
        <f>SUM(I47:I47)</f>
        <v>0.66666666666666663</v>
      </c>
      <c r="J48" s="105"/>
      <c r="K48" s="105"/>
      <c r="L48" s="105"/>
      <c r="M48" s="105"/>
      <c r="N48" s="105"/>
      <c r="O48" s="107"/>
    </row>
    <row r="49" spans="1:15" x14ac:dyDescent="0.25">
      <c r="A49" s="116"/>
      <c r="B49" s="105"/>
      <c r="C49" s="105"/>
      <c r="D49" s="105"/>
      <c r="E49" s="105"/>
      <c r="F49" s="105"/>
      <c r="G49" s="105"/>
      <c r="H49" s="105"/>
      <c r="I49" s="105"/>
      <c r="J49" s="105"/>
      <c r="K49" s="105"/>
      <c r="L49" s="105"/>
      <c r="M49" s="105"/>
      <c r="N49" s="105"/>
      <c r="O49" s="107"/>
    </row>
    <row r="50" spans="1:15" ht="15.75" thickBot="1" x14ac:dyDescent="0.3">
      <c r="A50" s="118"/>
      <c r="B50" s="119"/>
      <c r="C50" s="119"/>
      <c r="D50" s="119"/>
      <c r="E50" s="119"/>
      <c r="F50" s="119"/>
      <c r="G50" s="119"/>
      <c r="H50" s="119"/>
      <c r="I50" s="119"/>
      <c r="J50" s="119"/>
      <c r="K50" s="119"/>
      <c r="L50" s="119"/>
      <c r="M50" s="119"/>
      <c r="N50" s="119"/>
      <c r="O50" s="120"/>
    </row>
    <row r="51" spans="1:15" x14ac:dyDescent="0.25">
      <c r="A51" s="105"/>
      <c r="B51" s="105"/>
      <c r="C51" s="105"/>
      <c r="D51" s="105"/>
      <c r="E51" s="105"/>
      <c r="F51" s="105"/>
      <c r="G51" s="105"/>
      <c r="H51" s="105"/>
      <c r="I51" s="105"/>
      <c r="J51" s="105"/>
      <c r="K51" s="105"/>
      <c r="L51" s="105"/>
      <c r="M51" s="105"/>
      <c r="N51" s="105"/>
    </row>
  </sheetData>
  <hyperlinks>
    <hyperlink ref="B13" location="SU_09004" display="Spacer"/>
    <hyperlink ref="B10" location="SU_09001" display="Pullrod tube"/>
    <hyperlink ref="B11" location="SU_09002" display="Pullrod insert"/>
    <hyperlink ref="B12" location="SU_09003" display="Spacer"/>
    <hyperlink ref="E2" location="SU_A0900_BOM" display="Back to BOM"/>
  </hyperlinks>
  <pageMargins left="0.31496062992125984" right="0.31496062992125984" top="0.31496062992125984" bottom="0.39370078740157483" header="0.51181102362204722" footer="0.31496062992125984"/>
  <pageSetup paperSize="9" scale="71" firstPageNumber="0" fitToHeight="99" orientation="landscape" horizontalDpi="1200" verticalDpi="1200" r:id="rId1"/>
  <rowBreaks count="1" manualBreakCount="1">
    <brk id="50" max="16383" man="1"/>
  </rowBreaks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79"/>
  <sheetViews>
    <sheetView zoomScale="70" zoomScaleNormal="70" zoomScalePageLayoutView="70" workbookViewId="0">
      <selection activeCell="I15" activeCellId="2" sqref="N11 D11 I15"/>
    </sheetView>
  </sheetViews>
  <sheetFormatPr baseColWidth="10" defaultColWidth="11.5703125" defaultRowHeight="15" x14ac:dyDescent="0.25"/>
  <cols>
    <col min="1" max="1" width="11.5703125" style="103"/>
    <col min="2" max="2" width="31.85546875" style="103" customWidth="1"/>
    <col min="3" max="3" width="16.5703125" style="103" customWidth="1"/>
    <col min="4" max="6" width="11.5703125" style="103"/>
    <col min="7" max="7" width="10.28515625" style="103" customWidth="1"/>
    <col min="8" max="8" width="11.5703125" style="103"/>
    <col min="9" max="9" width="31.7109375" style="103" customWidth="1"/>
    <col min="10" max="10" width="13.5703125" style="103" customWidth="1"/>
    <col min="11" max="14" width="11.5703125" style="103"/>
    <col min="15" max="15" width="6.7109375" style="103" customWidth="1"/>
    <col min="16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1024" t="s">
        <v>0</v>
      </c>
      <c r="B2" s="104" t="s">
        <v>1</v>
      </c>
      <c r="C2" s="1006"/>
      <c r="D2" s="1006"/>
      <c r="E2" s="1006"/>
      <c r="F2" s="58" t="s">
        <v>2</v>
      </c>
      <c r="G2" s="1006"/>
      <c r="H2" s="1006"/>
      <c r="I2" s="1006"/>
      <c r="J2" s="1023" t="s">
        <v>3</v>
      </c>
      <c r="K2" s="1022">
        <v>81</v>
      </c>
      <c r="L2" s="1006"/>
      <c r="M2" s="1020" t="s">
        <v>18</v>
      </c>
      <c r="N2" s="1019">
        <f>N12+I16</f>
        <v>0.31568709849411508</v>
      </c>
      <c r="O2" s="128"/>
    </row>
    <row r="3" spans="1:15" ht="14.45" x14ac:dyDescent="0.3">
      <c r="A3" s="1017" t="s">
        <v>5</v>
      </c>
      <c r="B3" s="104" t="str">
        <f>'SU A0900'!B3</f>
        <v>Suspension &amp; Shocks</v>
      </c>
      <c r="C3" s="1006"/>
      <c r="D3" s="1020" t="s">
        <v>8</v>
      </c>
      <c r="E3" s="58"/>
      <c r="F3" s="1006"/>
      <c r="G3" s="1006"/>
      <c r="H3" s="1006"/>
      <c r="I3" s="1006"/>
      <c r="J3" s="1006"/>
      <c r="K3" s="1006"/>
      <c r="L3" s="1006"/>
      <c r="M3" s="1018" t="s">
        <v>6</v>
      </c>
      <c r="N3" s="1021">
        <v>1</v>
      </c>
      <c r="O3" s="128"/>
    </row>
    <row r="4" spans="1:15" ht="14.45" x14ac:dyDescent="0.3">
      <c r="A4" s="1017" t="s">
        <v>7</v>
      </c>
      <c r="B4" s="58" t="str">
        <f>'SU A0900'!B4</f>
        <v xml:space="preserve">Rear Tie rod  </v>
      </c>
      <c r="C4" s="1006"/>
      <c r="D4" s="1018" t="s">
        <v>10</v>
      </c>
      <c r="E4" s="1006"/>
      <c r="F4" s="1006"/>
      <c r="G4" s="1006"/>
      <c r="H4" s="1006"/>
      <c r="I4" s="1006"/>
      <c r="J4" s="1020" t="s">
        <v>8</v>
      </c>
      <c r="K4" s="1006"/>
      <c r="L4" s="1006"/>
      <c r="M4" s="1006"/>
      <c r="N4" s="1006"/>
      <c r="O4" s="128"/>
    </row>
    <row r="5" spans="1:15" ht="14.45" x14ac:dyDescent="0.3">
      <c r="A5" s="1017" t="s">
        <v>17</v>
      </c>
      <c r="B5" s="889" t="s">
        <v>429</v>
      </c>
      <c r="C5" s="1006"/>
      <c r="D5" s="1018" t="s">
        <v>14</v>
      </c>
      <c r="E5" s="1006"/>
      <c r="F5" s="1006"/>
      <c r="G5" s="1006"/>
      <c r="H5" s="1006"/>
      <c r="I5" s="1006"/>
      <c r="J5" s="1018" t="s">
        <v>10</v>
      </c>
      <c r="K5" s="1006"/>
      <c r="L5" s="1006"/>
      <c r="M5" s="1020" t="s">
        <v>11</v>
      </c>
      <c r="N5" s="1019">
        <f>N2*N3</f>
        <v>0.31568709849411508</v>
      </c>
      <c r="O5" s="128"/>
    </row>
    <row r="6" spans="1:15" ht="14.45" x14ac:dyDescent="0.3">
      <c r="A6" s="1017" t="s">
        <v>9</v>
      </c>
      <c r="B6" s="103" t="s">
        <v>428</v>
      </c>
      <c r="C6" s="1006"/>
      <c r="D6" s="1006"/>
      <c r="E6" s="1006"/>
      <c r="F6" s="1006"/>
      <c r="G6" s="1006"/>
      <c r="H6" s="1006"/>
      <c r="I6" s="1006"/>
      <c r="J6" s="1018" t="s">
        <v>14</v>
      </c>
      <c r="K6" s="1006"/>
      <c r="L6" s="1006"/>
      <c r="M6" s="1006"/>
      <c r="N6" s="1006"/>
      <c r="O6" s="128"/>
    </row>
    <row r="7" spans="1:15" ht="14.45" x14ac:dyDescent="0.3">
      <c r="A7" s="1017" t="s">
        <v>12</v>
      </c>
      <c r="B7" s="104" t="s">
        <v>13</v>
      </c>
      <c r="C7" s="1006"/>
      <c r="D7" s="1006"/>
      <c r="E7" s="1006"/>
      <c r="F7" s="1006"/>
      <c r="G7" s="1006"/>
      <c r="H7" s="1006"/>
      <c r="I7" s="1006"/>
      <c r="J7" s="1006"/>
      <c r="K7" s="1006"/>
      <c r="L7" s="1006"/>
      <c r="M7" s="1006"/>
      <c r="N7" s="1006"/>
      <c r="O7" s="128"/>
    </row>
    <row r="8" spans="1:15" ht="14.45" x14ac:dyDescent="0.3">
      <c r="A8" s="1017" t="s">
        <v>15</v>
      </c>
      <c r="B8" s="104"/>
      <c r="C8" s="1006"/>
      <c r="D8" s="1006"/>
      <c r="E8" s="1006"/>
      <c r="F8" s="1006"/>
      <c r="G8" s="1006"/>
      <c r="H8" s="1006"/>
      <c r="I8" s="1006"/>
      <c r="J8" s="1006"/>
      <c r="K8" s="1006"/>
      <c r="L8" s="1006"/>
      <c r="M8" s="1006"/>
      <c r="N8" s="1006"/>
      <c r="O8" s="128"/>
    </row>
    <row r="9" spans="1:15" ht="14.45" x14ac:dyDescent="0.3">
      <c r="A9" s="1009"/>
      <c r="B9" s="1006"/>
      <c r="C9" s="1006"/>
      <c r="D9" s="1006"/>
      <c r="E9" s="1006"/>
      <c r="F9" s="1006"/>
      <c r="G9" s="1006"/>
      <c r="H9" s="1006"/>
      <c r="I9" s="1006"/>
      <c r="J9" s="1006"/>
      <c r="K9" s="1006"/>
      <c r="L9" s="1006"/>
      <c r="M9" s="1006"/>
      <c r="N9" s="1006"/>
      <c r="O9" s="128"/>
    </row>
    <row r="10" spans="1:15" ht="14.45" x14ac:dyDescent="0.3">
      <c r="A10" s="1008" t="s">
        <v>16</v>
      </c>
      <c r="B10" s="1007" t="s">
        <v>38</v>
      </c>
      <c r="C10" s="1007" t="s">
        <v>22</v>
      </c>
      <c r="D10" s="1007" t="s">
        <v>23</v>
      </c>
      <c r="E10" s="1007" t="s">
        <v>31</v>
      </c>
      <c r="F10" s="1007" t="s">
        <v>32</v>
      </c>
      <c r="G10" s="1007" t="s">
        <v>33</v>
      </c>
      <c r="H10" s="1007" t="s">
        <v>34</v>
      </c>
      <c r="I10" s="1007" t="s">
        <v>39</v>
      </c>
      <c r="J10" s="1007" t="s">
        <v>40</v>
      </c>
      <c r="K10" s="1007" t="s">
        <v>41</v>
      </c>
      <c r="L10" s="1007" t="s">
        <v>42</v>
      </c>
      <c r="M10" s="1007" t="s">
        <v>19</v>
      </c>
      <c r="N10" s="1007" t="s">
        <v>20</v>
      </c>
      <c r="O10" s="128"/>
    </row>
    <row r="11" spans="1:15" ht="15" customHeight="1" x14ac:dyDescent="0.3">
      <c r="A11" s="1211">
        <v>10</v>
      </c>
      <c r="B11" s="1242" t="s">
        <v>110</v>
      </c>
      <c r="C11" s="1212" t="s">
        <v>157</v>
      </c>
      <c r="D11" s="1250">
        <v>2.25</v>
      </c>
      <c r="E11" s="1214">
        <f>J11*K11*L11</f>
        <v>4.0305377108495605E-2</v>
      </c>
      <c r="F11" s="1212" t="s">
        <v>43</v>
      </c>
      <c r="G11" s="1016"/>
      <c r="H11" s="1015"/>
      <c r="I11" s="1014" t="s">
        <v>145</v>
      </c>
      <c r="J11" s="1014">
        <f>PI()*((8*10^-3)^2-(6*10^-3)^2)</f>
        <v>8.7964594300514196E-5</v>
      </c>
      <c r="K11" s="1013">
        <v>0.28999999999999998</v>
      </c>
      <c r="L11" s="1012">
        <v>1580</v>
      </c>
      <c r="M11" s="1012">
        <v>1</v>
      </c>
      <c r="N11" s="1251">
        <f>D11*E11</f>
        <v>9.0687098494115104E-2</v>
      </c>
      <c r="O11" s="128"/>
    </row>
    <row r="12" spans="1:15" ht="14.45" x14ac:dyDescent="0.3">
      <c r="A12" s="1005"/>
      <c r="B12" s="1002"/>
      <c r="C12" s="1002"/>
      <c r="D12" s="1002"/>
      <c r="E12" s="1002"/>
      <c r="F12" s="1002"/>
      <c r="G12" s="1002"/>
      <c r="H12" s="1002"/>
      <c r="I12" s="1002"/>
      <c r="J12" s="1002"/>
      <c r="K12" s="1002"/>
      <c r="L12" s="1002"/>
      <c r="M12" s="1004" t="s">
        <v>20</v>
      </c>
      <c r="N12" s="1010">
        <f>N11</f>
        <v>9.0687098494115104E-2</v>
      </c>
      <c r="O12" s="128"/>
    </row>
    <row r="13" spans="1:15" ht="14.45" x14ac:dyDescent="0.3">
      <c r="A13" s="1009"/>
      <c r="B13" s="1006"/>
      <c r="C13" s="1006"/>
      <c r="D13" s="1006"/>
      <c r="E13" s="1006"/>
      <c r="F13" s="1006"/>
      <c r="G13" s="1006"/>
      <c r="H13" s="1006"/>
      <c r="I13" s="1006"/>
      <c r="J13" s="1006"/>
      <c r="K13" s="1006"/>
      <c r="L13" s="1006"/>
      <c r="M13" s="1006"/>
      <c r="N13" s="1006"/>
      <c r="O13" s="128"/>
    </row>
    <row r="14" spans="1:15" ht="14.45" x14ac:dyDescent="0.3">
      <c r="A14" s="1008" t="s">
        <v>16</v>
      </c>
      <c r="B14" s="1007" t="s">
        <v>21</v>
      </c>
      <c r="C14" s="1007" t="s">
        <v>22</v>
      </c>
      <c r="D14" s="1007" t="s">
        <v>23</v>
      </c>
      <c r="E14" s="1007" t="s">
        <v>24</v>
      </c>
      <c r="F14" s="1007" t="s">
        <v>19</v>
      </c>
      <c r="G14" s="1007" t="s">
        <v>25</v>
      </c>
      <c r="H14" s="1007" t="s">
        <v>26</v>
      </c>
      <c r="I14" s="1007" t="s">
        <v>20</v>
      </c>
      <c r="J14" s="1002"/>
      <c r="K14" s="1002"/>
      <c r="L14" s="1002"/>
      <c r="M14" s="1002"/>
      <c r="N14" s="1002"/>
      <c r="O14" s="128"/>
    </row>
    <row r="15" spans="1:15" ht="14.45" x14ac:dyDescent="0.3">
      <c r="A15" s="1211">
        <v>10</v>
      </c>
      <c r="B15" s="1244" t="s">
        <v>77</v>
      </c>
      <c r="C15" s="1212" t="s">
        <v>556</v>
      </c>
      <c r="D15" s="1213">
        <v>0.15</v>
      </c>
      <c r="E15" s="1212" t="s">
        <v>76</v>
      </c>
      <c r="F15" s="1212">
        <v>1.5</v>
      </c>
      <c r="G15" s="1212"/>
      <c r="H15" s="1212"/>
      <c r="I15" s="1250">
        <f>F15*D15</f>
        <v>0.22499999999999998</v>
      </c>
      <c r="J15" s="1006"/>
      <c r="K15" s="1006"/>
      <c r="L15" s="1006"/>
      <c r="M15" s="1006"/>
      <c r="N15" s="1006"/>
      <c r="O15" s="128"/>
    </row>
    <row r="16" spans="1:15" ht="14.45" x14ac:dyDescent="0.3">
      <c r="A16" s="1005"/>
      <c r="B16" s="1002"/>
      <c r="C16" s="1002"/>
      <c r="D16" s="1002"/>
      <c r="E16" s="1002"/>
      <c r="F16" s="1002"/>
      <c r="G16" s="1002"/>
      <c r="H16" s="1004" t="s">
        <v>20</v>
      </c>
      <c r="I16" s="1003">
        <f>I15</f>
        <v>0.22499999999999998</v>
      </c>
      <c r="J16" s="1002"/>
      <c r="K16" s="1002"/>
      <c r="L16" s="1002"/>
      <c r="M16" s="1002"/>
      <c r="N16" s="1002"/>
      <c r="O16" s="128"/>
    </row>
    <row r="17" spans="1:15" thickBot="1" x14ac:dyDescent="0.35">
      <c r="A17" s="1001"/>
      <c r="B17" s="998"/>
      <c r="C17" s="998"/>
      <c r="D17" s="998"/>
      <c r="E17" s="998"/>
      <c r="F17" s="998"/>
      <c r="G17" s="998"/>
      <c r="H17" s="1000"/>
      <c r="I17" s="999"/>
      <c r="J17" s="998"/>
      <c r="K17" s="998"/>
      <c r="L17" s="998"/>
      <c r="M17" s="998"/>
      <c r="N17" s="998"/>
      <c r="O17" s="140"/>
    </row>
    <row r="18" spans="1:15" ht="14.45" x14ac:dyDescent="0.3">
      <c r="A18" s="996"/>
      <c r="B18" s="996"/>
      <c r="C18" s="996"/>
      <c r="D18" s="996"/>
      <c r="E18" s="996"/>
      <c r="F18" s="996"/>
      <c r="G18" s="996"/>
      <c r="H18" s="996"/>
      <c r="I18" s="996"/>
      <c r="J18" s="996"/>
      <c r="K18" s="996"/>
      <c r="L18" s="996"/>
      <c r="M18" s="996"/>
      <c r="N18" s="996"/>
    </row>
    <row r="19" spans="1:15" ht="14.45" x14ac:dyDescent="0.3">
      <c r="A19" s="996"/>
      <c r="B19" s="996"/>
      <c r="C19" s="996"/>
      <c r="D19" s="996"/>
      <c r="E19" s="996"/>
      <c r="F19" s="996"/>
      <c r="G19" s="996"/>
      <c r="H19" s="996"/>
      <c r="I19" s="996"/>
      <c r="J19" s="996"/>
      <c r="K19" s="996"/>
      <c r="L19" s="996"/>
      <c r="M19" s="996"/>
      <c r="N19" s="996"/>
    </row>
    <row r="20" spans="1:15" ht="14.45" x14ac:dyDescent="0.3">
      <c r="A20" s="996"/>
      <c r="B20" s="996"/>
      <c r="C20" s="996"/>
      <c r="D20" s="996"/>
      <c r="E20" s="996"/>
      <c r="F20" s="996"/>
      <c r="G20" s="996"/>
      <c r="H20" s="996"/>
      <c r="I20" s="996"/>
      <c r="J20" s="996"/>
      <c r="K20" s="996"/>
      <c r="L20" s="996"/>
      <c r="M20" s="996"/>
      <c r="N20" s="996"/>
    </row>
    <row r="21" spans="1:15" ht="14.45" x14ac:dyDescent="0.3">
      <c r="A21" s="996"/>
      <c r="B21" s="996"/>
      <c r="C21" s="996"/>
      <c r="D21" s="996"/>
      <c r="E21" s="996"/>
      <c r="F21" s="996"/>
      <c r="G21" s="996"/>
      <c r="H21" s="996"/>
      <c r="I21" s="996"/>
      <c r="J21" s="996"/>
      <c r="K21" s="996"/>
      <c r="L21" s="996"/>
      <c r="M21" s="996"/>
      <c r="N21" s="996"/>
    </row>
    <row r="22" spans="1:15" ht="14.45" x14ac:dyDescent="0.3">
      <c r="A22" s="104"/>
      <c r="B22" s="996"/>
      <c r="C22" s="996"/>
      <c r="D22" s="996"/>
      <c r="E22" s="996"/>
      <c r="F22" s="996"/>
      <c r="G22" s="996"/>
      <c r="H22" s="996"/>
      <c r="I22" s="996"/>
      <c r="J22" s="996"/>
      <c r="K22" s="996"/>
      <c r="L22" s="996"/>
      <c r="M22" s="996"/>
      <c r="N22" s="996"/>
    </row>
    <row r="23" spans="1:15" ht="14.45" x14ac:dyDescent="0.3">
      <c r="A23" s="104"/>
      <c r="B23" s="996"/>
      <c r="C23" s="996"/>
      <c r="D23" s="996"/>
      <c r="E23" s="996"/>
      <c r="F23" s="996"/>
      <c r="G23" s="996"/>
      <c r="H23" s="996"/>
      <c r="I23" s="996"/>
      <c r="J23" s="996"/>
      <c r="K23" s="996"/>
      <c r="L23" s="996"/>
      <c r="M23" s="996"/>
      <c r="N23" s="996"/>
    </row>
    <row r="24" spans="1:15" ht="14.45" x14ac:dyDescent="0.3">
      <c r="A24" s="58"/>
      <c r="B24" s="996"/>
      <c r="C24" s="996"/>
      <c r="D24" s="996"/>
      <c r="E24" s="996"/>
      <c r="F24" s="996"/>
      <c r="G24" s="996"/>
      <c r="H24" s="996"/>
      <c r="I24" s="996"/>
      <c r="J24" s="996"/>
      <c r="K24" s="996"/>
      <c r="L24" s="996"/>
      <c r="M24" s="996"/>
      <c r="N24" s="996"/>
    </row>
    <row r="25" spans="1:15" ht="14.45" x14ac:dyDescent="0.3">
      <c r="A25" s="108"/>
      <c r="B25" s="996"/>
      <c r="C25" s="996"/>
      <c r="D25" s="996"/>
      <c r="E25" s="996"/>
      <c r="F25" s="996"/>
      <c r="G25" s="996"/>
      <c r="H25" s="996"/>
      <c r="I25" s="996"/>
      <c r="J25" s="996"/>
      <c r="K25" s="996"/>
      <c r="L25" s="996"/>
      <c r="M25" s="996"/>
      <c r="N25" s="996"/>
    </row>
    <row r="26" spans="1:15" ht="14.45" x14ac:dyDescent="0.3">
      <c r="A26" s="109"/>
      <c r="B26" s="996"/>
      <c r="C26" s="996"/>
      <c r="D26" s="996"/>
      <c r="E26" s="996"/>
      <c r="F26" s="996"/>
      <c r="G26" s="996"/>
      <c r="H26" s="996"/>
      <c r="I26" s="996"/>
      <c r="J26" s="996"/>
      <c r="K26" s="996"/>
      <c r="L26" s="996"/>
      <c r="M26" s="996"/>
      <c r="N26" s="996"/>
    </row>
    <row r="27" spans="1:15" ht="14.45" x14ac:dyDescent="0.3">
      <c r="A27" s="104"/>
      <c r="B27" s="996"/>
      <c r="C27" s="996"/>
      <c r="D27" s="996"/>
      <c r="E27" s="996"/>
      <c r="F27" s="996"/>
      <c r="G27" s="996"/>
      <c r="H27" s="996"/>
      <c r="I27" s="996"/>
      <c r="J27" s="996"/>
      <c r="K27" s="996"/>
      <c r="L27" s="996"/>
      <c r="M27" s="996"/>
      <c r="N27" s="996"/>
    </row>
    <row r="28" spans="1:15" ht="14.45" x14ac:dyDescent="0.3">
      <c r="A28" s="104"/>
      <c r="B28" s="996"/>
      <c r="C28" s="996"/>
      <c r="D28" s="996"/>
      <c r="E28" s="996"/>
      <c r="F28" s="996"/>
      <c r="G28" s="996"/>
      <c r="H28" s="996"/>
      <c r="I28" s="996"/>
      <c r="J28" s="996"/>
      <c r="K28" s="996"/>
      <c r="L28" s="996"/>
      <c r="M28" s="996"/>
      <c r="N28" s="996"/>
    </row>
    <row r="29" spans="1:15" ht="14.45" x14ac:dyDescent="0.3">
      <c r="A29" s="996"/>
      <c r="B29" s="996"/>
      <c r="C29" s="996"/>
      <c r="D29" s="996"/>
      <c r="E29" s="996"/>
      <c r="F29" s="996"/>
      <c r="G29" s="996"/>
      <c r="H29" s="996"/>
      <c r="I29" s="996"/>
      <c r="J29" s="996"/>
      <c r="K29" s="996"/>
      <c r="L29" s="996"/>
      <c r="M29" s="996"/>
      <c r="N29" s="996"/>
    </row>
    <row r="30" spans="1:15" ht="14.45" x14ac:dyDescent="0.3">
      <c r="A30" s="996"/>
      <c r="B30" s="996"/>
      <c r="C30" s="996"/>
      <c r="D30" s="996"/>
      <c r="E30" s="996"/>
      <c r="F30" s="996"/>
      <c r="G30" s="996"/>
      <c r="H30" s="996"/>
      <c r="I30" s="996"/>
      <c r="J30" s="996"/>
      <c r="K30" s="996"/>
      <c r="L30" s="996"/>
      <c r="M30" s="996"/>
      <c r="N30" s="996"/>
    </row>
    <row r="31" spans="1:15" ht="14.45" x14ac:dyDescent="0.3">
      <c r="A31" s="996"/>
      <c r="B31" s="996"/>
      <c r="C31" s="996"/>
      <c r="D31" s="996"/>
      <c r="E31" s="996"/>
      <c r="F31" s="996"/>
      <c r="G31" s="996"/>
      <c r="H31" s="996"/>
      <c r="I31" s="996"/>
      <c r="J31" s="996"/>
      <c r="K31" s="996"/>
      <c r="L31" s="996"/>
      <c r="M31" s="996"/>
      <c r="N31" s="996"/>
    </row>
    <row r="32" spans="1:15" ht="14.45" x14ac:dyDescent="0.3">
      <c r="A32" s="996"/>
      <c r="B32" s="996"/>
      <c r="C32" s="996"/>
      <c r="D32" s="996"/>
      <c r="E32" s="996"/>
      <c r="F32" s="996"/>
      <c r="G32" s="996"/>
      <c r="H32" s="996"/>
      <c r="I32" s="996"/>
      <c r="J32" s="996"/>
      <c r="K32" s="996"/>
      <c r="L32" s="996"/>
      <c r="M32" s="996"/>
      <c r="N32" s="996"/>
    </row>
    <row r="33" spans="1:14" ht="14.45" x14ac:dyDescent="0.3">
      <c r="A33" s="996"/>
      <c r="B33" s="996"/>
      <c r="C33" s="996"/>
      <c r="D33" s="996"/>
      <c r="E33" s="996"/>
      <c r="F33" s="996"/>
      <c r="G33" s="996"/>
      <c r="H33" s="996"/>
      <c r="I33" s="996"/>
      <c r="J33" s="996"/>
      <c r="K33" s="996"/>
      <c r="L33" s="996"/>
      <c r="M33" s="996"/>
      <c r="N33" s="996"/>
    </row>
    <row r="34" spans="1:14" ht="14.45" x14ac:dyDescent="0.3">
      <c r="A34" s="996"/>
      <c r="B34" s="996"/>
      <c r="C34" s="996"/>
      <c r="D34" s="996"/>
      <c r="E34" s="996"/>
      <c r="F34" s="996"/>
      <c r="G34" s="996"/>
      <c r="H34" s="996"/>
      <c r="I34" s="996"/>
      <c r="J34" s="996"/>
      <c r="K34" s="996"/>
      <c r="L34" s="996"/>
      <c r="M34" s="996"/>
      <c r="N34" s="996"/>
    </row>
    <row r="35" spans="1:14" x14ac:dyDescent="0.25">
      <c r="A35" s="996"/>
      <c r="B35" s="996"/>
      <c r="C35" s="996"/>
      <c r="D35" s="996"/>
      <c r="E35" s="996"/>
      <c r="F35" s="996"/>
      <c r="G35" s="996"/>
      <c r="H35" s="996"/>
      <c r="I35" s="996"/>
      <c r="J35" s="996"/>
      <c r="K35" s="996"/>
      <c r="L35" s="996"/>
      <c r="M35" s="996"/>
      <c r="N35" s="996"/>
    </row>
    <row r="36" spans="1:14" x14ac:dyDescent="0.25">
      <c r="A36" s="996"/>
      <c r="B36" s="996"/>
      <c r="C36" s="996"/>
      <c r="D36" s="996"/>
      <c r="E36" s="996"/>
      <c r="F36" s="996"/>
      <c r="G36" s="996"/>
      <c r="H36" s="996"/>
      <c r="I36" s="996"/>
      <c r="J36" s="996"/>
      <c r="K36" s="996"/>
      <c r="L36" s="996"/>
      <c r="M36" s="996"/>
      <c r="N36" s="996"/>
    </row>
    <row r="37" spans="1:14" x14ac:dyDescent="0.25">
      <c r="A37" s="996"/>
      <c r="B37" s="996"/>
      <c r="C37" s="996"/>
      <c r="D37" s="996"/>
      <c r="E37" s="996"/>
      <c r="F37" s="996"/>
      <c r="G37" s="996"/>
      <c r="H37" s="996"/>
      <c r="I37" s="996"/>
      <c r="J37" s="996"/>
      <c r="K37" s="996"/>
      <c r="L37" s="996"/>
      <c r="M37" s="996"/>
      <c r="N37" s="996"/>
    </row>
    <row r="38" spans="1:14" x14ac:dyDescent="0.25">
      <c r="A38" s="996"/>
      <c r="B38" s="996"/>
      <c r="C38" s="996"/>
      <c r="D38" s="996"/>
      <c r="E38" s="996"/>
      <c r="F38" s="996"/>
      <c r="G38" s="996"/>
      <c r="H38" s="996"/>
      <c r="I38" s="996"/>
      <c r="J38" s="996"/>
      <c r="K38" s="996"/>
      <c r="L38" s="996"/>
      <c r="M38" s="996"/>
      <c r="N38" s="996"/>
    </row>
    <row r="39" spans="1:14" x14ac:dyDescent="0.25">
      <c r="A39" s="996"/>
      <c r="B39" s="996"/>
      <c r="C39" s="996"/>
      <c r="D39" s="996"/>
      <c r="E39" s="996"/>
      <c r="F39" s="996"/>
      <c r="G39" s="996"/>
      <c r="H39" s="996"/>
      <c r="I39" s="996"/>
      <c r="J39" s="996"/>
      <c r="K39" s="996"/>
      <c r="L39" s="996"/>
      <c r="M39" s="996"/>
      <c r="N39" s="996"/>
    </row>
    <row r="40" spans="1:14" x14ac:dyDescent="0.25">
      <c r="A40" s="996"/>
      <c r="B40" s="996"/>
      <c r="C40" s="996"/>
      <c r="D40" s="996"/>
      <c r="E40" s="996"/>
      <c r="F40" s="996"/>
      <c r="G40" s="996"/>
      <c r="H40" s="996"/>
      <c r="I40" s="996"/>
      <c r="J40" s="996"/>
      <c r="K40" s="996"/>
      <c r="L40" s="996"/>
      <c r="M40" s="996"/>
      <c r="N40" s="996"/>
    </row>
    <row r="41" spans="1:14" x14ac:dyDescent="0.25">
      <c r="A41" s="996"/>
      <c r="B41" s="996"/>
      <c r="C41" s="996"/>
      <c r="D41" s="996"/>
      <c r="E41" s="996"/>
      <c r="F41" s="996"/>
      <c r="G41" s="996"/>
      <c r="H41" s="996"/>
      <c r="I41" s="996"/>
      <c r="J41" s="996"/>
      <c r="K41" s="996"/>
      <c r="L41" s="996"/>
      <c r="M41" s="996"/>
      <c r="N41" s="996"/>
    </row>
    <row r="42" spans="1:14" x14ac:dyDescent="0.25">
      <c r="A42" s="996"/>
      <c r="B42" s="996"/>
      <c r="C42" s="996"/>
      <c r="D42" s="996"/>
      <c r="E42" s="996"/>
      <c r="F42" s="996"/>
      <c r="G42" s="996"/>
      <c r="H42" s="996"/>
      <c r="I42" s="996"/>
      <c r="J42" s="996"/>
      <c r="K42" s="996"/>
      <c r="L42" s="996"/>
      <c r="M42" s="996"/>
      <c r="N42" s="996"/>
    </row>
    <row r="43" spans="1:14" x14ac:dyDescent="0.25">
      <c r="A43" s="996"/>
      <c r="B43" s="996"/>
      <c r="C43" s="996"/>
      <c r="D43" s="996"/>
      <c r="E43" s="996"/>
      <c r="F43" s="996"/>
      <c r="G43" s="996"/>
      <c r="H43" s="996"/>
      <c r="I43" s="996"/>
      <c r="J43" s="996"/>
      <c r="K43" s="996"/>
      <c r="L43" s="996"/>
      <c r="M43" s="996"/>
      <c r="N43" s="996"/>
    </row>
    <row r="44" spans="1:14" x14ac:dyDescent="0.25">
      <c r="A44" s="996"/>
      <c r="B44" s="996"/>
      <c r="C44" s="996"/>
      <c r="D44" s="996"/>
      <c r="E44" s="996"/>
      <c r="F44" s="996"/>
      <c r="G44" s="996"/>
      <c r="H44" s="996"/>
      <c r="I44" s="996"/>
      <c r="J44" s="996"/>
      <c r="K44" s="996"/>
      <c r="L44" s="996"/>
      <c r="M44" s="996"/>
      <c r="N44" s="996"/>
    </row>
    <row r="45" spans="1:14" x14ac:dyDescent="0.25">
      <c r="A45" s="996"/>
      <c r="B45" s="996"/>
      <c r="C45" s="996"/>
      <c r="D45" s="996"/>
      <c r="E45" s="996"/>
      <c r="F45" s="996"/>
      <c r="G45" s="996"/>
      <c r="H45" s="996"/>
      <c r="I45" s="996"/>
      <c r="J45" s="996"/>
      <c r="K45" s="996"/>
      <c r="L45" s="996"/>
      <c r="M45" s="996"/>
      <c r="N45" s="996"/>
    </row>
    <row r="46" spans="1:14" x14ac:dyDescent="0.25">
      <c r="A46" s="996"/>
      <c r="B46" s="996"/>
      <c r="C46" s="996"/>
      <c r="D46" s="996"/>
      <c r="E46" s="996"/>
      <c r="F46" s="996"/>
      <c r="G46" s="996"/>
      <c r="H46" s="996"/>
      <c r="I46" s="996"/>
      <c r="J46" s="996"/>
      <c r="K46" s="996"/>
      <c r="L46" s="996"/>
      <c r="M46" s="996"/>
      <c r="N46" s="996"/>
    </row>
    <row r="47" spans="1:14" x14ac:dyDescent="0.25">
      <c r="A47" s="996"/>
      <c r="B47" s="996"/>
      <c r="C47" s="996"/>
      <c r="D47" s="996"/>
      <c r="E47" s="996"/>
      <c r="F47" s="996"/>
      <c r="G47" s="996"/>
      <c r="H47" s="996"/>
      <c r="I47" s="996"/>
      <c r="J47" s="996"/>
      <c r="K47" s="996"/>
      <c r="L47" s="996"/>
      <c r="M47" s="996"/>
      <c r="N47" s="996"/>
    </row>
    <row r="48" spans="1:14" x14ac:dyDescent="0.25">
      <c r="A48" s="996"/>
      <c r="B48" s="996"/>
      <c r="C48" s="996"/>
      <c r="D48" s="996"/>
      <c r="E48" s="996"/>
      <c r="F48" s="996"/>
      <c r="G48" s="996"/>
      <c r="H48" s="996"/>
      <c r="I48" s="996"/>
      <c r="J48" s="996"/>
      <c r="K48" s="996"/>
      <c r="L48" s="996"/>
      <c r="M48" s="996"/>
      <c r="N48" s="996"/>
    </row>
    <row r="49" spans="1:14" x14ac:dyDescent="0.25">
      <c r="A49" s="996"/>
      <c r="B49" s="996"/>
      <c r="C49" s="996"/>
      <c r="D49" s="996"/>
      <c r="E49" s="996"/>
      <c r="F49" s="996"/>
      <c r="G49" s="996"/>
      <c r="H49" s="996"/>
      <c r="I49" s="996"/>
      <c r="J49" s="996"/>
      <c r="K49" s="996"/>
      <c r="L49" s="996"/>
      <c r="M49" s="996"/>
      <c r="N49" s="996"/>
    </row>
    <row r="50" spans="1:14" x14ac:dyDescent="0.25">
      <c r="A50" s="996"/>
      <c r="B50" s="996"/>
      <c r="C50" s="996"/>
      <c r="D50" s="996"/>
      <c r="E50" s="996"/>
      <c r="F50" s="996"/>
      <c r="G50" s="996"/>
      <c r="H50" s="996"/>
      <c r="I50" s="996"/>
      <c r="J50" s="996"/>
      <c r="K50" s="996"/>
      <c r="L50" s="996"/>
      <c r="M50" s="996"/>
      <c r="N50" s="996"/>
    </row>
    <row r="51" spans="1:14" x14ac:dyDescent="0.25">
      <c r="A51" s="996"/>
      <c r="B51" s="996"/>
      <c r="C51" s="996"/>
      <c r="D51" s="996"/>
      <c r="E51" s="996"/>
      <c r="F51" s="996"/>
      <c r="G51" s="996"/>
      <c r="H51" s="996"/>
      <c r="I51" s="996"/>
      <c r="J51" s="996"/>
      <c r="K51" s="996"/>
      <c r="L51" s="996"/>
      <c r="M51" s="996"/>
      <c r="N51" s="996"/>
    </row>
    <row r="52" spans="1:14" x14ac:dyDescent="0.25">
      <c r="A52" s="996"/>
      <c r="B52" s="996"/>
      <c r="C52" s="996"/>
      <c r="D52" s="996"/>
      <c r="E52" s="996"/>
      <c r="F52" s="996"/>
      <c r="G52" s="996"/>
      <c r="H52" s="996"/>
      <c r="I52" s="996"/>
      <c r="J52" s="996"/>
      <c r="K52" s="996"/>
      <c r="L52" s="996"/>
      <c r="M52" s="996"/>
      <c r="N52" s="996"/>
    </row>
    <row r="53" spans="1:14" x14ac:dyDescent="0.25">
      <c r="A53" s="996"/>
      <c r="B53" s="996"/>
      <c r="C53" s="996"/>
      <c r="D53" s="996"/>
      <c r="E53" s="996"/>
      <c r="F53" s="996"/>
      <c r="G53" s="996"/>
      <c r="H53" s="996"/>
      <c r="I53" s="996"/>
      <c r="J53" s="996"/>
      <c r="K53" s="996"/>
      <c r="L53" s="996"/>
      <c r="M53" s="996"/>
      <c r="N53" s="996"/>
    </row>
    <row r="54" spans="1:14" x14ac:dyDescent="0.25">
      <c r="A54" s="996"/>
      <c r="B54" s="996"/>
      <c r="C54" s="996"/>
      <c r="D54" s="996"/>
      <c r="E54" s="996"/>
      <c r="F54" s="996"/>
      <c r="G54" s="996"/>
      <c r="H54" s="996"/>
      <c r="I54" s="996"/>
      <c r="J54" s="996"/>
      <c r="K54" s="996"/>
      <c r="L54" s="996"/>
      <c r="M54" s="996"/>
      <c r="N54" s="996"/>
    </row>
    <row r="55" spans="1:14" x14ac:dyDescent="0.25">
      <c r="A55" s="996"/>
      <c r="B55" s="996"/>
      <c r="C55" s="996"/>
      <c r="D55" s="996"/>
      <c r="E55" s="996"/>
      <c r="F55" s="996"/>
      <c r="G55" s="996"/>
      <c r="H55" s="996"/>
      <c r="I55" s="996"/>
      <c r="J55" s="996"/>
      <c r="K55" s="996"/>
      <c r="L55" s="996"/>
      <c r="M55" s="996"/>
      <c r="N55" s="996"/>
    </row>
    <row r="56" spans="1:14" x14ac:dyDescent="0.25">
      <c r="A56" s="996"/>
      <c r="B56" s="996"/>
      <c r="C56" s="996"/>
      <c r="D56" s="996"/>
      <c r="E56" s="996"/>
      <c r="F56" s="996"/>
      <c r="G56" s="996"/>
      <c r="H56" s="996"/>
      <c r="I56" s="996"/>
      <c r="J56" s="996"/>
      <c r="K56" s="996"/>
      <c r="L56" s="996"/>
      <c r="M56" s="996"/>
      <c r="N56" s="996"/>
    </row>
    <row r="57" spans="1:14" x14ac:dyDescent="0.25">
      <c r="A57" s="996"/>
      <c r="B57" s="996"/>
      <c r="C57" s="996"/>
      <c r="D57" s="996"/>
      <c r="E57" s="996"/>
      <c r="F57" s="996"/>
      <c r="G57" s="996"/>
      <c r="H57" s="996"/>
      <c r="I57" s="996"/>
      <c r="J57" s="996"/>
      <c r="K57" s="996"/>
      <c r="L57" s="996"/>
      <c r="M57" s="996"/>
      <c r="N57" s="996"/>
    </row>
    <row r="58" spans="1:14" x14ac:dyDescent="0.25">
      <c r="A58" s="996"/>
      <c r="B58" s="996"/>
      <c r="C58" s="996"/>
      <c r="D58" s="996"/>
      <c r="E58" s="996"/>
      <c r="F58" s="996"/>
      <c r="G58" s="996"/>
      <c r="H58" s="996"/>
      <c r="I58" s="996"/>
      <c r="J58" s="996"/>
      <c r="K58" s="996"/>
      <c r="L58" s="996"/>
      <c r="M58" s="996"/>
      <c r="N58" s="996"/>
    </row>
    <row r="59" spans="1:14" x14ac:dyDescent="0.25">
      <c r="A59" s="996"/>
      <c r="B59" s="996"/>
      <c r="C59" s="996"/>
      <c r="D59" s="996"/>
      <c r="E59" s="996"/>
      <c r="F59" s="996"/>
      <c r="G59" s="996"/>
      <c r="H59" s="996"/>
      <c r="I59" s="996"/>
      <c r="J59" s="996"/>
      <c r="K59" s="996"/>
      <c r="L59" s="996"/>
      <c r="M59" s="996"/>
      <c r="N59" s="996"/>
    </row>
    <row r="60" spans="1:14" x14ac:dyDescent="0.25">
      <c r="A60" s="996"/>
      <c r="B60" s="996"/>
      <c r="C60" s="996"/>
      <c r="D60" s="996"/>
      <c r="E60" s="996"/>
      <c r="F60" s="996"/>
      <c r="G60" s="996"/>
      <c r="H60" s="996"/>
      <c r="I60" s="996"/>
      <c r="J60" s="996"/>
      <c r="K60" s="996"/>
      <c r="L60" s="996"/>
      <c r="M60" s="996"/>
      <c r="N60" s="996"/>
    </row>
    <row r="61" spans="1:14" x14ac:dyDescent="0.25">
      <c r="A61" s="996"/>
      <c r="B61" s="996"/>
      <c r="C61" s="996"/>
      <c r="D61" s="996"/>
      <c r="E61" s="996"/>
      <c r="F61" s="996"/>
      <c r="G61" s="996"/>
      <c r="H61" s="996"/>
      <c r="I61" s="996"/>
      <c r="J61" s="996"/>
      <c r="K61" s="996"/>
      <c r="L61" s="996"/>
      <c r="M61" s="996"/>
      <c r="N61" s="996"/>
    </row>
    <row r="62" spans="1:14" x14ac:dyDescent="0.25">
      <c r="A62" s="996"/>
      <c r="B62" s="996"/>
      <c r="C62" s="996"/>
      <c r="D62" s="996"/>
      <c r="E62" s="996"/>
      <c r="F62" s="996"/>
      <c r="G62" s="996"/>
      <c r="H62" s="996"/>
      <c r="I62" s="996"/>
      <c r="J62" s="996"/>
      <c r="K62" s="996"/>
      <c r="L62" s="996"/>
      <c r="M62" s="996"/>
      <c r="N62" s="996"/>
    </row>
    <row r="63" spans="1:14" x14ac:dyDescent="0.25">
      <c r="A63" s="996"/>
      <c r="B63" s="996"/>
      <c r="C63" s="996"/>
      <c r="D63" s="996"/>
      <c r="E63" s="996"/>
      <c r="F63" s="996"/>
      <c r="G63" s="996"/>
      <c r="H63" s="996"/>
      <c r="I63" s="996"/>
      <c r="J63" s="996"/>
      <c r="K63" s="996"/>
      <c r="L63" s="996"/>
      <c r="M63" s="996"/>
      <c r="N63" s="996"/>
    </row>
    <row r="64" spans="1:14" x14ac:dyDescent="0.25">
      <c r="A64" s="996"/>
      <c r="B64" s="996"/>
      <c r="C64" s="996"/>
      <c r="D64" s="996"/>
      <c r="E64" s="996"/>
      <c r="F64" s="996"/>
      <c r="G64" s="996"/>
      <c r="H64" s="996"/>
      <c r="I64" s="996"/>
      <c r="J64" s="996"/>
      <c r="K64" s="996"/>
      <c r="L64" s="996"/>
      <c r="M64" s="996"/>
      <c r="N64" s="996"/>
    </row>
    <row r="65" spans="1:14" x14ac:dyDescent="0.25">
      <c r="A65" s="996"/>
      <c r="B65" s="996"/>
      <c r="C65" s="996"/>
      <c r="D65" s="996"/>
      <c r="E65" s="996"/>
      <c r="F65" s="996"/>
      <c r="G65" s="996"/>
      <c r="H65" s="996"/>
      <c r="I65" s="996"/>
      <c r="J65" s="996"/>
      <c r="K65" s="996"/>
      <c r="L65" s="996"/>
      <c r="M65" s="996"/>
      <c r="N65" s="996"/>
    </row>
    <row r="66" spans="1:14" x14ac:dyDescent="0.25">
      <c r="A66" s="996"/>
      <c r="B66" s="996"/>
      <c r="C66" s="996"/>
      <c r="D66" s="996"/>
      <c r="E66" s="996"/>
      <c r="F66" s="996"/>
      <c r="G66" s="996"/>
      <c r="H66" s="996"/>
      <c r="I66" s="996"/>
      <c r="J66" s="996"/>
      <c r="K66" s="996"/>
      <c r="L66" s="996"/>
      <c r="M66" s="996"/>
      <c r="N66" s="996"/>
    </row>
    <row r="67" spans="1:14" x14ac:dyDescent="0.25">
      <c r="A67" s="996"/>
      <c r="B67" s="996"/>
      <c r="C67" s="996"/>
      <c r="D67" s="996"/>
      <c r="E67" s="996"/>
      <c r="F67" s="996"/>
      <c r="G67" s="996"/>
      <c r="H67" s="996"/>
      <c r="I67" s="996"/>
      <c r="J67" s="996"/>
      <c r="K67" s="996"/>
      <c r="L67" s="996"/>
      <c r="M67" s="996"/>
      <c r="N67" s="996"/>
    </row>
    <row r="68" spans="1:14" x14ac:dyDescent="0.25">
      <c r="A68" s="996"/>
      <c r="B68" s="996"/>
      <c r="C68" s="996"/>
      <c r="D68" s="996"/>
      <c r="E68" s="996"/>
      <c r="F68" s="996"/>
      <c r="G68" s="996"/>
      <c r="H68" s="996"/>
      <c r="I68" s="996"/>
      <c r="J68" s="996"/>
      <c r="K68" s="996"/>
      <c r="L68" s="996"/>
      <c r="M68" s="996"/>
      <c r="N68" s="996"/>
    </row>
    <row r="69" spans="1:14" x14ac:dyDescent="0.25">
      <c r="A69" s="996"/>
      <c r="B69" s="996"/>
      <c r="C69" s="996"/>
      <c r="D69" s="996"/>
      <c r="E69" s="996"/>
      <c r="F69" s="996"/>
      <c r="G69" s="996"/>
      <c r="H69" s="996"/>
      <c r="I69" s="996"/>
      <c r="J69" s="996"/>
      <c r="K69" s="996"/>
      <c r="L69" s="996"/>
      <c r="M69" s="996"/>
      <c r="N69" s="996"/>
    </row>
    <row r="70" spans="1:14" x14ac:dyDescent="0.25">
      <c r="A70" s="996"/>
      <c r="B70" s="996"/>
      <c r="C70" s="996"/>
      <c r="D70" s="996"/>
      <c r="E70" s="996"/>
      <c r="F70" s="996"/>
      <c r="G70" s="996"/>
      <c r="H70" s="996"/>
      <c r="I70" s="996"/>
      <c r="J70" s="996"/>
      <c r="K70" s="996"/>
      <c r="L70" s="996"/>
      <c r="M70" s="996"/>
      <c r="N70" s="996"/>
    </row>
    <row r="71" spans="1:14" x14ac:dyDescent="0.25">
      <c r="A71" s="996"/>
      <c r="B71" s="996"/>
      <c r="C71" s="996"/>
      <c r="D71" s="996"/>
      <c r="E71" s="996"/>
      <c r="F71" s="996"/>
      <c r="G71" s="996"/>
      <c r="H71" s="996"/>
      <c r="I71" s="996"/>
      <c r="J71" s="996"/>
      <c r="K71" s="996"/>
      <c r="L71" s="996"/>
      <c r="M71" s="996"/>
      <c r="N71" s="996"/>
    </row>
    <row r="72" spans="1:14" x14ac:dyDescent="0.25">
      <c r="A72" s="996"/>
      <c r="B72" s="996"/>
      <c r="C72" s="996"/>
      <c r="D72" s="996"/>
      <c r="E72" s="996"/>
      <c r="F72" s="996"/>
      <c r="G72" s="996"/>
      <c r="H72" s="996"/>
      <c r="I72" s="996"/>
      <c r="J72" s="996"/>
      <c r="K72" s="996"/>
      <c r="L72" s="996"/>
      <c r="M72" s="996"/>
      <c r="N72" s="996"/>
    </row>
    <row r="73" spans="1:14" x14ac:dyDescent="0.25">
      <c r="A73" s="996"/>
      <c r="B73" s="996"/>
      <c r="C73" s="996"/>
      <c r="D73" s="996"/>
      <c r="E73" s="996"/>
      <c r="F73" s="996"/>
      <c r="G73" s="996"/>
      <c r="H73" s="996"/>
      <c r="I73" s="996"/>
      <c r="J73" s="996"/>
      <c r="K73" s="996"/>
      <c r="L73" s="996"/>
      <c r="M73" s="996"/>
      <c r="N73" s="996"/>
    </row>
    <row r="74" spans="1:14" x14ac:dyDescent="0.25">
      <c r="A74" s="996"/>
      <c r="B74" s="996"/>
      <c r="C74" s="996"/>
      <c r="D74" s="996"/>
      <c r="E74" s="996"/>
      <c r="F74" s="996"/>
      <c r="G74" s="996"/>
      <c r="H74" s="996"/>
      <c r="I74" s="996"/>
      <c r="J74" s="996"/>
      <c r="K74" s="996"/>
      <c r="L74" s="996"/>
      <c r="M74" s="996"/>
      <c r="N74" s="996"/>
    </row>
    <row r="75" spans="1:14" x14ac:dyDescent="0.25">
      <c r="A75" s="996"/>
      <c r="B75" s="996"/>
      <c r="C75" s="996"/>
      <c r="D75" s="996"/>
      <c r="E75" s="996"/>
      <c r="F75" s="996"/>
      <c r="G75" s="996"/>
      <c r="H75" s="996"/>
      <c r="I75" s="996"/>
      <c r="J75" s="996"/>
      <c r="K75" s="996"/>
      <c r="L75" s="996"/>
      <c r="M75" s="996"/>
      <c r="N75" s="996"/>
    </row>
    <row r="76" spans="1:14" x14ac:dyDescent="0.25">
      <c r="A76" s="996"/>
      <c r="B76" s="996"/>
      <c r="C76" s="996"/>
      <c r="D76" s="996"/>
      <c r="E76" s="996"/>
      <c r="F76" s="996"/>
      <c r="G76" s="996"/>
      <c r="H76" s="996"/>
      <c r="I76" s="996"/>
      <c r="J76" s="996"/>
      <c r="K76" s="996"/>
      <c r="L76" s="996"/>
      <c r="M76" s="996"/>
      <c r="N76" s="996"/>
    </row>
    <row r="77" spans="1:14" x14ac:dyDescent="0.25">
      <c r="A77" s="996"/>
      <c r="B77" s="996"/>
      <c r="C77" s="996"/>
      <c r="D77" s="996"/>
      <c r="E77" s="996"/>
      <c r="F77" s="996"/>
      <c r="G77" s="996"/>
      <c r="H77" s="996"/>
      <c r="I77" s="996"/>
      <c r="J77" s="996"/>
      <c r="K77" s="996"/>
      <c r="L77" s="996"/>
      <c r="M77" s="996"/>
      <c r="N77" s="996"/>
    </row>
    <row r="78" spans="1:14" x14ac:dyDescent="0.25">
      <c r="A78" s="996"/>
      <c r="B78" s="996"/>
      <c r="C78" s="996"/>
      <c r="D78" s="996"/>
      <c r="E78" s="996"/>
      <c r="F78" s="996"/>
      <c r="G78" s="996"/>
      <c r="H78" s="996"/>
      <c r="I78" s="996"/>
      <c r="J78" s="996"/>
      <c r="K78" s="996"/>
      <c r="L78" s="996"/>
      <c r="M78" s="996"/>
      <c r="N78" s="996"/>
    </row>
    <row r="79" spans="1:14" x14ac:dyDescent="0.25">
      <c r="A79" s="996"/>
      <c r="B79" s="996"/>
      <c r="C79" s="996"/>
      <c r="D79" s="996"/>
      <c r="E79" s="996"/>
      <c r="F79" s="996"/>
      <c r="G79" s="996"/>
      <c r="H79" s="996"/>
      <c r="I79" s="996"/>
      <c r="J79" s="996"/>
      <c r="K79" s="996"/>
      <c r="L79" s="996"/>
      <c r="M79" s="996"/>
      <c r="N79" s="996"/>
    </row>
    <row r="80" spans="1:14" x14ac:dyDescent="0.25">
      <c r="A80" s="996"/>
      <c r="B80" s="996"/>
      <c r="C80" s="996"/>
      <c r="D80" s="996"/>
      <c r="E80" s="996"/>
      <c r="F80" s="996"/>
      <c r="G80" s="996"/>
      <c r="H80" s="996"/>
      <c r="I80" s="996"/>
      <c r="J80" s="996"/>
      <c r="K80" s="996"/>
      <c r="L80" s="996"/>
      <c r="M80" s="996"/>
      <c r="N80" s="996"/>
    </row>
    <row r="81" spans="1:14" x14ac:dyDescent="0.25">
      <c r="A81" s="996"/>
      <c r="B81" s="996"/>
      <c r="C81" s="996"/>
      <c r="D81" s="996"/>
      <c r="E81" s="996"/>
      <c r="F81" s="996"/>
      <c r="G81" s="996"/>
      <c r="H81" s="996"/>
      <c r="I81" s="996"/>
      <c r="J81" s="996"/>
      <c r="K81" s="996"/>
      <c r="L81" s="996"/>
      <c r="M81" s="996"/>
      <c r="N81" s="996"/>
    </row>
    <row r="82" spans="1:14" x14ac:dyDescent="0.25">
      <c r="A82" s="996"/>
      <c r="B82" s="996"/>
      <c r="C82" s="996"/>
      <c r="D82" s="996"/>
      <c r="E82" s="996"/>
      <c r="F82" s="996"/>
      <c r="G82" s="996"/>
      <c r="H82" s="996"/>
      <c r="I82" s="996"/>
      <c r="J82" s="996"/>
      <c r="K82" s="996"/>
      <c r="L82" s="996"/>
      <c r="M82" s="996"/>
      <c r="N82" s="996"/>
    </row>
    <row r="83" spans="1:14" x14ac:dyDescent="0.25">
      <c r="A83" s="996"/>
      <c r="B83" s="996"/>
      <c r="C83" s="996"/>
      <c r="D83" s="996"/>
      <c r="E83" s="996"/>
      <c r="F83" s="996"/>
      <c r="G83" s="996"/>
      <c r="H83" s="996"/>
      <c r="I83" s="996"/>
      <c r="J83" s="996"/>
      <c r="K83" s="996"/>
      <c r="L83" s="996"/>
      <c r="M83" s="996"/>
      <c r="N83" s="996"/>
    </row>
    <row r="84" spans="1:14" x14ac:dyDescent="0.25">
      <c r="A84" s="996"/>
      <c r="B84" s="996"/>
      <c r="C84" s="996"/>
      <c r="D84" s="996"/>
      <c r="E84" s="996"/>
      <c r="F84" s="996"/>
      <c r="G84" s="996"/>
      <c r="H84" s="996"/>
      <c r="I84" s="996"/>
      <c r="J84" s="996"/>
      <c r="K84" s="996"/>
      <c r="L84" s="996"/>
      <c r="M84" s="996"/>
      <c r="N84" s="996"/>
    </row>
    <row r="85" spans="1:14" x14ac:dyDescent="0.25">
      <c r="A85" s="996"/>
      <c r="B85" s="996"/>
      <c r="C85" s="996"/>
      <c r="D85" s="996"/>
      <c r="E85" s="996"/>
      <c r="F85" s="996"/>
      <c r="G85" s="996"/>
      <c r="H85" s="996"/>
      <c r="I85" s="996"/>
      <c r="J85" s="996"/>
      <c r="K85" s="996"/>
      <c r="L85" s="996"/>
      <c r="M85" s="996"/>
      <c r="N85" s="996"/>
    </row>
    <row r="86" spans="1:14" x14ac:dyDescent="0.25">
      <c r="A86" s="996"/>
      <c r="B86" s="996"/>
      <c r="C86" s="996"/>
      <c r="D86" s="996"/>
      <c r="E86" s="996"/>
      <c r="F86" s="996"/>
      <c r="G86" s="996"/>
      <c r="H86" s="996"/>
      <c r="I86" s="996"/>
      <c r="J86" s="996"/>
      <c r="K86" s="996"/>
      <c r="L86" s="996"/>
      <c r="M86" s="996"/>
      <c r="N86" s="996"/>
    </row>
    <row r="87" spans="1:14" x14ac:dyDescent="0.25">
      <c r="A87" s="996"/>
      <c r="B87" s="996"/>
      <c r="C87" s="996"/>
      <c r="D87" s="996"/>
      <c r="E87" s="996"/>
      <c r="F87" s="996"/>
      <c r="G87" s="996"/>
      <c r="H87" s="996"/>
      <c r="I87" s="996"/>
      <c r="J87" s="996"/>
      <c r="K87" s="996"/>
      <c r="L87" s="996"/>
      <c r="M87" s="996"/>
      <c r="N87" s="996"/>
    </row>
    <row r="88" spans="1:14" x14ac:dyDescent="0.25">
      <c r="A88" s="996"/>
      <c r="B88" s="996"/>
      <c r="C88" s="996"/>
      <c r="D88" s="996"/>
      <c r="E88" s="996"/>
      <c r="F88" s="996"/>
      <c r="G88" s="996"/>
      <c r="H88" s="996"/>
      <c r="I88" s="996"/>
      <c r="J88" s="996"/>
      <c r="K88" s="996"/>
      <c r="L88" s="996"/>
      <c r="M88" s="996"/>
      <c r="N88" s="996"/>
    </row>
    <row r="89" spans="1:14" x14ac:dyDescent="0.25">
      <c r="A89" s="996"/>
      <c r="B89" s="996"/>
      <c r="C89" s="996"/>
      <c r="D89" s="996"/>
      <c r="E89" s="996"/>
      <c r="F89" s="996"/>
      <c r="G89" s="996"/>
      <c r="H89" s="996"/>
      <c r="I89" s="996"/>
      <c r="J89" s="996"/>
      <c r="K89" s="996"/>
      <c r="L89" s="996"/>
      <c r="M89" s="996"/>
      <c r="N89" s="996"/>
    </row>
    <row r="90" spans="1:14" x14ac:dyDescent="0.25">
      <c r="A90" s="996"/>
      <c r="B90" s="996"/>
      <c r="C90" s="996"/>
      <c r="D90" s="996"/>
      <c r="E90" s="996"/>
      <c r="F90" s="996"/>
      <c r="G90" s="996"/>
      <c r="H90" s="996"/>
      <c r="I90" s="996"/>
      <c r="J90" s="996"/>
      <c r="K90" s="996"/>
      <c r="L90" s="996"/>
      <c r="M90" s="996"/>
      <c r="N90" s="996"/>
    </row>
    <row r="91" spans="1:14" x14ac:dyDescent="0.25">
      <c r="A91" s="996"/>
      <c r="B91" s="996"/>
      <c r="C91" s="996"/>
      <c r="D91" s="996"/>
      <c r="E91" s="996"/>
      <c r="F91" s="996"/>
      <c r="G91" s="996"/>
      <c r="H91" s="996"/>
      <c r="I91" s="996"/>
      <c r="J91" s="996"/>
      <c r="K91" s="996"/>
      <c r="L91" s="996"/>
      <c r="M91" s="996"/>
      <c r="N91" s="996"/>
    </row>
    <row r="92" spans="1:14" x14ac:dyDescent="0.25">
      <c r="A92" s="996"/>
      <c r="B92" s="996"/>
      <c r="C92" s="996"/>
      <c r="D92" s="996"/>
      <c r="E92" s="996"/>
      <c r="F92" s="996"/>
      <c r="G92" s="996"/>
      <c r="H92" s="996"/>
      <c r="I92" s="996"/>
      <c r="J92" s="996"/>
      <c r="K92" s="996"/>
      <c r="L92" s="996"/>
      <c r="M92" s="996"/>
      <c r="N92" s="996"/>
    </row>
    <row r="93" spans="1:14" x14ac:dyDescent="0.25">
      <c r="A93" s="996"/>
      <c r="B93" s="996"/>
      <c r="C93" s="996"/>
      <c r="D93" s="996"/>
      <c r="E93" s="996"/>
      <c r="F93" s="996"/>
      <c r="G93" s="996"/>
      <c r="H93" s="996"/>
      <c r="I93" s="996"/>
      <c r="J93" s="996"/>
      <c r="K93" s="996"/>
      <c r="L93" s="996"/>
      <c r="M93" s="996"/>
      <c r="N93" s="996"/>
    </row>
    <row r="94" spans="1:14" x14ac:dyDescent="0.25">
      <c r="A94" s="996"/>
      <c r="B94" s="996"/>
      <c r="C94" s="996"/>
      <c r="D94" s="996"/>
      <c r="E94" s="996"/>
      <c r="F94" s="996"/>
      <c r="G94" s="996"/>
      <c r="H94" s="996"/>
      <c r="I94" s="996"/>
      <c r="J94" s="996"/>
      <c r="K94" s="996"/>
      <c r="L94" s="996"/>
      <c r="M94" s="996"/>
      <c r="N94" s="996"/>
    </row>
    <row r="95" spans="1:14" x14ac:dyDescent="0.25">
      <c r="A95" s="996"/>
      <c r="B95" s="996"/>
      <c r="C95" s="996"/>
      <c r="D95" s="996"/>
      <c r="E95" s="996"/>
      <c r="F95" s="996"/>
      <c r="G95" s="996"/>
      <c r="H95" s="996"/>
      <c r="I95" s="996"/>
      <c r="J95" s="996"/>
      <c r="K95" s="996"/>
      <c r="L95" s="996"/>
      <c r="M95" s="996"/>
      <c r="N95" s="996"/>
    </row>
    <row r="96" spans="1:14" x14ac:dyDescent="0.25">
      <c r="A96" s="996"/>
      <c r="B96" s="996"/>
      <c r="C96" s="996"/>
      <c r="D96" s="996"/>
      <c r="E96" s="996"/>
      <c r="F96" s="996"/>
      <c r="G96" s="996"/>
      <c r="H96" s="996"/>
      <c r="I96" s="996"/>
      <c r="J96" s="996"/>
      <c r="K96" s="996"/>
      <c r="L96" s="996"/>
      <c r="M96" s="996"/>
      <c r="N96" s="996"/>
    </row>
    <row r="97" spans="1:14" x14ac:dyDescent="0.25">
      <c r="A97" s="996"/>
      <c r="B97" s="996"/>
      <c r="C97" s="996"/>
      <c r="D97" s="996"/>
      <c r="E97" s="996"/>
      <c r="F97" s="996"/>
      <c r="G97" s="996"/>
      <c r="H97" s="996"/>
      <c r="I97" s="996"/>
      <c r="J97" s="996"/>
      <c r="K97" s="996"/>
      <c r="L97" s="996"/>
      <c r="M97" s="996"/>
      <c r="N97" s="996"/>
    </row>
    <row r="98" spans="1:14" x14ac:dyDescent="0.25">
      <c r="A98" s="996"/>
      <c r="B98" s="996"/>
      <c r="C98" s="996"/>
      <c r="D98" s="996"/>
      <c r="E98" s="996"/>
      <c r="F98" s="996"/>
      <c r="G98" s="996"/>
      <c r="H98" s="996"/>
      <c r="I98" s="996"/>
      <c r="J98" s="996"/>
      <c r="K98" s="996"/>
      <c r="L98" s="996"/>
      <c r="M98" s="996"/>
      <c r="N98" s="996"/>
    </row>
    <row r="99" spans="1:14" x14ac:dyDescent="0.25">
      <c r="A99" s="996"/>
      <c r="B99" s="996"/>
      <c r="C99" s="996"/>
      <c r="D99" s="996"/>
      <c r="E99" s="996"/>
      <c r="F99" s="996"/>
      <c r="G99" s="996"/>
      <c r="H99" s="996"/>
      <c r="I99" s="996"/>
      <c r="J99" s="996"/>
      <c r="K99" s="996"/>
      <c r="L99" s="996"/>
      <c r="M99" s="996"/>
      <c r="N99" s="996"/>
    </row>
    <row r="100" spans="1:14" x14ac:dyDescent="0.25">
      <c r="A100" s="996"/>
      <c r="B100" s="996"/>
      <c r="C100" s="996"/>
      <c r="D100" s="996"/>
      <c r="E100" s="996"/>
      <c r="F100" s="996"/>
      <c r="G100" s="996"/>
      <c r="H100" s="996"/>
      <c r="I100" s="996"/>
      <c r="J100" s="996"/>
      <c r="K100" s="996"/>
      <c r="L100" s="996"/>
      <c r="M100" s="996"/>
      <c r="N100" s="996"/>
    </row>
    <row r="101" spans="1:14" x14ac:dyDescent="0.25">
      <c r="A101" s="996"/>
      <c r="B101" s="996"/>
      <c r="C101" s="996"/>
      <c r="D101" s="996"/>
      <c r="E101" s="996"/>
      <c r="F101" s="996"/>
      <c r="G101" s="996"/>
      <c r="H101" s="996"/>
      <c r="I101" s="996"/>
      <c r="J101" s="996"/>
      <c r="K101" s="996"/>
      <c r="L101" s="996"/>
      <c r="M101" s="996"/>
      <c r="N101" s="996"/>
    </row>
    <row r="102" spans="1:14" x14ac:dyDescent="0.25">
      <c r="A102" s="996"/>
      <c r="B102" s="996"/>
      <c r="C102" s="996"/>
      <c r="D102" s="996"/>
      <c r="E102" s="996"/>
      <c r="F102" s="996"/>
      <c r="G102" s="996"/>
      <c r="H102" s="996"/>
      <c r="I102" s="996"/>
      <c r="J102" s="996"/>
      <c r="K102" s="996"/>
      <c r="L102" s="996"/>
      <c r="M102" s="996"/>
      <c r="N102" s="996"/>
    </row>
    <row r="103" spans="1:14" x14ac:dyDescent="0.25">
      <c r="A103" s="996"/>
      <c r="B103" s="996"/>
      <c r="C103" s="996"/>
      <c r="D103" s="996"/>
      <c r="E103" s="996"/>
      <c r="F103" s="996"/>
      <c r="G103" s="996"/>
      <c r="H103" s="996"/>
      <c r="I103" s="996"/>
      <c r="J103" s="996"/>
      <c r="K103" s="996"/>
      <c r="L103" s="996"/>
      <c r="M103" s="996"/>
      <c r="N103" s="996"/>
    </row>
    <row r="104" spans="1:14" x14ac:dyDescent="0.25">
      <c r="A104" s="996"/>
      <c r="B104" s="996"/>
      <c r="C104" s="996"/>
      <c r="D104" s="996"/>
      <c r="E104" s="996"/>
      <c r="F104" s="996"/>
      <c r="G104" s="996"/>
      <c r="H104" s="996"/>
      <c r="I104" s="996"/>
      <c r="J104" s="996"/>
      <c r="K104" s="996"/>
      <c r="L104" s="996"/>
      <c r="M104" s="996"/>
      <c r="N104" s="996"/>
    </row>
    <row r="105" spans="1:14" x14ac:dyDescent="0.25">
      <c r="A105" s="996"/>
      <c r="B105" s="996"/>
      <c r="C105" s="996"/>
      <c r="D105" s="996"/>
      <c r="E105" s="996"/>
      <c r="F105" s="996"/>
      <c r="G105" s="996"/>
      <c r="H105" s="996"/>
      <c r="I105" s="996"/>
      <c r="J105" s="996"/>
      <c r="K105" s="996"/>
      <c r="L105" s="996"/>
      <c r="M105" s="996"/>
      <c r="N105" s="996"/>
    </row>
    <row r="106" spans="1:14" x14ac:dyDescent="0.25">
      <c r="A106" s="996"/>
      <c r="B106" s="996"/>
      <c r="C106" s="996"/>
      <c r="D106" s="996"/>
      <c r="E106" s="996"/>
      <c r="F106" s="996"/>
      <c r="G106" s="996"/>
      <c r="H106" s="996"/>
      <c r="I106" s="996"/>
      <c r="J106" s="996"/>
      <c r="K106" s="996"/>
      <c r="L106" s="996"/>
      <c r="M106" s="996"/>
      <c r="N106" s="996"/>
    </row>
    <row r="107" spans="1:14" x14ac:dyDescent="0.25">
      <c r="A107" s="996"/>
      <c r="B107" s="996"/>
      <c r="C107" s="996"/>
      <c r="D107" s="996"/>
      <c r="E107" s="996"/>
      <c r="F107" s="996"/>
      <c r="G107" s="996"/>
      <c r="H107" s="996"/>
      <c r="I107" s="996"/>
      <c r="J107" s="996"/>
      <c r="K107" s="996"/>
      <c r="L107" s="996"/>
      <c r="M107" s="996"/>
      <c r="N107" s="996"/>
    </row>
    <row r="108" spans="1:14" x14ac:dyDescent="0.25">
      <c r="A108" s="996"/>
      <c r="B108" s="996"/>
      <c r="C108" s="996"/>
      <c r="D108" s="996"/>
      <c r="E108" s="996"/>
      <c r="F108" s="996"/>
      <c r="G108" s="996"/>
      <c r="H108" s="996"/>
      <c r="I108" s="996"/>
      <c r="J108" s="996"/>
      <c r="K108" s="996"/>
      <c r="L108" s="996"/>
      <c r="M108" s="996"/>
      <c r="N108" s="996"/>
    </row>
    <row r="109" spans="1:14" x14ac:dyDescent="0.25">
      <c r="A109" s="996"/>
      <c r="B109" s="996"/>
      <c r="C109" s="996"/>
      <c r="D109" s="996"/>
      <c r="E109" s="996"/>
      <c r="F109" s="996"/>
      <c r="G109" s="996"/>
      <c r="H109" s="996"/>
      <c r="I109" s="996"/>
      <c r="J109" s="996"/>
      <c r="K109" s="996"/>
      <c r="L109" s="996"/>
      <c r="M109" s="996"/>
      <c r="N109" s="996"/>
    </row>
    <row r="110" spans="1:14" x14ac:dyDescent="0.25">
      <c r="A110" s="996"/>
      <c r="B110" s="996"/>
      <c r="C110" s="996"/>
      <c r="D110" s="996"/>
      <c r="E110" s="996"/>
      <c r="F110" s="996"/>
      <c r="G110" s="996"/>
      <c r="H110" s="996"/>
      <c r="I110" s="996"/>
      <c r="J110" s="996"/>
      <c r="K110" s="996"/>
      <c r="L110" s="996"/>
      <c r="M110" s="996"/>
      <c r="N110" s="996"/>
    </row>
    <row r="111" spans="1:14" x14ac:dyDescent="0.25">
      <c r="A111" s="996"/>
      <c r="B111" s="996"/>
      <c r="C111" s="996"/>
      <c r="D111" s="996"/>
      <c r="E111" s="996"/>
      <c r="F111" s="996"/>
      <c r="G111" s="996"/>
      <c r="H111" s="996"/>
      <c r="I111" s="996"/>
      <c r="J111" s="996"/>
      <c r="K111" s="996"/>
      <c r="L111" s="996"/>
      <c r="M111" s="996"/>
      <c r="N111" s="996"/>
    </row>
    <row r="112" spans="1:14" x14ac:dyDescent="0.25">
      <c r="A112" s="996"/>
      <c r="B112" s="996"/>
      <c r="C112" s="996"/>
      <c r="D112" s="996"/>
      <c r="E112" s="996"/>
      <c r="F112" s="996"/>
      <c r="G112" s="996"/>
      <c r="H112" s="996"/>
      <c r="I112" s="996"/>
      <c r="J112" s="996"/>
      <c r="K112" s="996"/>
      <c r="L112" s="996"/>
      <c r="M112" s="996"/>
      <c r="N112" s="996"/>
    </row>
    <row r="113" spans="1:14" x14ac:dyDescent="0.25">
      <c r="A113" s="996"/>
      <c r="B113" s="996"/>
      <c r="C113" s="996"/>
      <c r="D113" s="996"/>
      <c r="E113" s="996"/>
      <c r="F113" s="996"/>
      <c r="G113" s="996"/>
      <c r="H113" s="996"/>
      <c r="I113" s="996"/>
      <c r="J113" s="996"/>
      <c r="K113" s="996"/>
      <c r="L113" s="996"/>
      <c r="M113" s="996"/>
      <c r="N113" s="996"/>
    </row>
    <row r="114" spans="1:14" x14ac:dyDescent="0.25">
      <c r="A114" s="996"/>
      <c r="B114" s="996"/>
      <c r="C114" s="996"/>
      <c r="D114" s="996"/>
      <c r="E114" s="996"/>
      <c r="F114" s="996"/>
      <c r="G114" s="996"/>
      <c r="H114" s="996"/>
      <c r="I114" s="996"/>
      <c r="J114" s="996"/>
      <c r="K114" s="996"/>
      <c r="L114" s="996"/>
      <c r="M114" s="996"/>
      <c r="N114" s="996"/>
    </row>
    <row r="115" spans="1:14" x14ac:dyDescent="0.25">
      <c r="A115" s="996"/>
      <c r="B115" s="996"/>
      <c r="C115" s="996"/>
      <c r="D115" s="996"/>
      <c r="E115" s="996"/>
      <c r="F115" s="996"/>
      <c r="G115" s="996"/>
      <c r="H115" s="996"/>
      <c r="I115" s="996"/>
      <c r="J115" s="996"/>
      <c r="K115" s="996"/>
      <c r="L115" s="996"/>
      <c r="M115" s="996"/>
      <c r="N115" s="996"/>
    </row>
    <row r="116" spans="1:14" x14ac:dyDescent="0.25">
      <c r="A116" s="996"/>
      <c r="B116" s="996"/>
      <c r="C116" s="996"/>
      <c r="D116" s="996"/>
      <c r="E116" s="996"/>
      <c r="F116" s="996"/>
      <c r="G116" s="996"/>
      <c r="H116" s="996"/>
      <c r="I116" s="996"/>
      <c r="J116" s="996"/>
      <c r="K116" s="996"/>
      <c r="L116" s="996"/>
      <c r="M116" s="996"/>
      <c r="N116" s="996"/>
    </row>
    <row r="117" spans="1:14" x14ac:dyDescent="0.25">
      <c r="A117" s="996"/>
      <c r="B117" s="996"/>
      <c r="C117" s="996"/>
      <c r="D117" s="996"/>
      <c r="E117" s="996"/>
      <c r="F117" s="996"/>
      <c r="G117" s="996"/>
      <c r="H117" s="996"/>
      <c r="I117" s="996"/>
      <c r="J117" s="996"/>
      <c r="K117" s="996"/>
      <c r="L117" s="996"/>
      <c r="M117" s="996"/>
      <c r="N117" s="996"/>
    </row>
    <row r="118" spans="1:14" x14ac:dyDescent="0.25">
      <c r="A118" s="996"/>
      <c r="B118" s="996"/>
      <c r="C118" s="996"/>
      <c r="D118" s="996"/>
      <c r="E118" s="996"/>
      <c r="F118" s="996"/>
      <c r="G118" s="996"/>
      <c r="H118" s="996"/>
      <c r="I118" s="996"/>
      <c r="J118" s="996"/>
      <c r="K118" s="996"/>
      <c r="L118" s="996"/>
      <c r="M118" s="996"/>
      <c r="N118" s="996"/>
    </row>
    <row r="119" spans="1:14" x14ac:dyDescent="0.25">
      <c r="A119" s="996"/>
      <c r="B119" s="996"/>
      <c r="C119" s="996"/>
      <c r="D119" s="996"/>
      <c r="E119" s="996"/>
      <c r="F119" s="996"/>
      <c r="G119" s="996"/>
      <c r="H119" s="996"/>
      <c r="I119" s="996"/>
      <c r="J119" s="996"/>
      <c r="K119" s="996"/>
      <c r="L119" s="996"/>
      <c r="M119" s="996"/>
      <c r="N119" s="996"/>
    </row>
    <row r="120" spans="1:14" x14ac:dyDescent="0.25">
      <c r="A120" s="996"/>
      <c r="B120" s="996"/>
      <c r="C120" s="996"/>
      <c r="D120" s="996"/>
      <c r="E120" s="996"/>
      <c r="F120" s="996"/>
      <c r="G120" s="996"/>
      <c r="H120" s="996"/>
      <c r="I120" s="996"/>
      <c r="J120" s="996"/>
      <c r="K120" s="996"/>
      <c r="L120" s="996"/>
      <c r="M120" s="996"/>
      <c r="N120" s="996"/>
    </row>
    <row r="121" spans="1:14" x14ac:dyDescent="0.25">
      <c r="A121" s="996"/>
      <c r="B121" s="996"/>
      <c r="C121" s="996"/>
      <c r="D121" s="996"/>
      <c r="E121" s="996"/>
      <c r="F121" s="996"/>
      <c r="G121" s="996"/>
      <c r="H121" s="996"/>
      <c r="I121" s="996"/>
      <c r="J121" s="996"/>
      <c r="K121" s="996"/>
      <c r="L121" s="996"/>
      <c r="M121" s="996"/>
      <c r="N121" s="996"/>
    </row>
    <row r="122" spans="1:14" x14ac:dyDescent="0.25">
      <c r="A122" s="996"/>
      <c r="B122" s="996"/>
      <c r="C122" s="996"/>
      <c r="D122" s="996"/>
      <c r="E122" s="996"/>
      <c r="F122" s="996"/>
      <c r="G122" s="996"/>
      <c r="H122" s="996"/>
      <c r="I122" s="996"/>
      <c r="J122" s="996"/>
      <c r="K122" s="996"/>
      <c r="L122" s="996"/>
      <c r="M122" s="996"/>
      <c r="N122" s="996"/>
    </row>
    <row r="123" spans="1:14" x14ac:dyDescent="0.25">
      <c r="A123" s="996"/>
      <c r="B123" s="996"/>
      <c r="C123" s="996"/>
      <c r="D123" s="996"/>
      <c r="E123" s="996"/>
      <c r="F123" s="996"/>
      <c r="G123" s="996"/>
      <c r="H123" s="996"/>
      <c r="I123" s="996"/>
      <c r="J123" s="996"/>
      <c r="K123" s="996"/>
      <c r="L123" s="996"/>
      <c r="M123" s="996"/>
      <c r="N123" s="996"/>
    </row>
    <row r="124" spans="1:14" x14ac:dyDescent="0.25">
      <c r="A124" s="996"/>
      <c r="B124" s="996"/>
      <c r="C124" s="996"/>
      <c r="D124" s="996"/>
      <c r="E124" s="996"/>
      <c r="F124" s="996"/>
      <c r="G124" s="996"/>
      <c r="H124" s="996"/>
      <c r="I124" s="996"/>
      <c r="J124" s="996"/>
      <c r="K124" s="996"/>
      <c r="L124" s="996"/>
      <c r="M124" s="996"/>
      <c r="N124" s="996"/>
    </row>
    <row r="125" spans="1:14" x14ac:dyDescent="0.25">
      <c r="A125" s="996"/>
      <c r="B125" s="996"/>
      <c r="C125" s="996"/>
      <c r="D125" s="996"/>
      <c r="E125" s="996"/>
      <c r="F125" s="996"/>
      <c r="G125" s="996"/>
      <c r="H125" s="996"/>
      <c r="I125" s="996"/>
      <c r="J125" s="996"/>
      <c r="K125" s="996"/>
      <c r="L125" s="996"/>
      <c r="M125" s="996"/>
      <c r="N125" s="996"/>
    </row>
    <row r="126" spans="1:14" x14ac:dyDescent="0.25">
      <c r="A126" s="996"/>
      <c r="B126" s="996"/>
      <c r="C126" s="996"/>
      <c r="D126" s="996"/>
      <c r="E126" s="996"/>
      <c r="F126" s="996"/>
      <c r="G126" s="996"/>
      <c r="H126" s="996"/>
      <c r="I126" s="996"/>
      <c r="J126" s="996"/>
      <c r="K126" s="996"/>
      <c r="L126" s="996"/>
      <c r="M126" s="996"/>
      <c r="N126" s="996"/>
    </row>
    <row r="127" spans="1:14" x14ac:dyDescent="0.25">
      <c r="A127" s="996"/>
      <c r="B127" s="996"/>
      <c r="C127" s="996"/>
      <c r="D127" s="996"/>
      <c r="E127" s="996"/>
      <c r="F127" s="996"/>
      <c r="G127" s="996"/>
      <c r="H127" s="996"/>
      <c r="I127" s="996"/>
      <c r="J127" s="996"/>
      <c r="K127" s="996"/>
      <c r="L127" s="996"/>
      <c r="M127" s="996"/>
      <c r="N127" s="996"/>
    </row>
    <row r="128" spans="1:14" x14ac:dyDescent="0.25">
      <c r="A128" s="996"/>
      <c r="B128" s="996"/>
      <c r="C128" s="996"/>
      <c r="D128" s="996"/>
      <c r="E128" s="996"/>
      <c r="F128" s="996"/>
      <c r="G128" s="996"/>
      <c r="H128" s="996"/>
      <c r="I128" s="996"/>
      <c r="J128" s="996"/>
      <c r="K128" s="996"/>
      <c r="L128" s="996"/>
      <c r="M128" s="996"/>
      <c r="N128" s="996"/>
    </row>
    <row r="129" spans="1:14" x14ac:dyDescent="0.25">
      <c r="A129" s="996"/>
      <c r="B129" s="996"/>
      <c r="C129" s="996"/>
      <c r="D129" s="996"/>
      <c r="E129" s="996"/>
      <c r="F129" s="996"/>
      <c r="G129" s="996"/>
      <c r="H129" s="996"/>
      <c r="I129" s="996"/>
      <c r="J129" s="996"/>
      <c r="K129" s="996"/>
      <c r="L129" s="996"/>
      <c r="M129" s="996"/>
      <c r="N129" s="996"/>
    </row>
    <row r="130" spans="1:14" x14ac:dyDescent="0.25">
      <c r="A130" s="996"/>
      <c r="B130" s="996"/>
      <c r="C130" s="996"/>
      <c r="D130" s="996"/>
      <c r="E130" s="996"/>
      <c r="F130" s="996"/>
      <c r="G130" s="996"/>
      <c r="H130" s="996"/>
      <c r="I130" s="996"/>
      <c r="J130" s="996"/>
      <c r="K130" s="996"/>
      <c r="L130" s="996"/>
      <c r="M130" s="996"/>
      <c r="N130" s="996"/>
    </row>
    <row r="131" spans="1:14" x14ac:dyDescent="0.25">
      <c r="A131" s="996"/>
      <c r="B131" s="996"/>
      <c r="C131" s="996"/>
      <c r="D131" s="996"/>
      <c r="E131" s="996"/>
      <c r="F131" s="996"/>
      <c r="G131" s="996"/>
      <c r="H131" s="996"/>
      <c r="I131" s="996"/>
      <c r="J131" s="996"/>
      <c r="K131" s="996"/>
      <c r="L131" s="996"/>
      <c r="M131" s="996"/>
      <c r="N131" s="996"/>
    </row>
    <row r="132" spans="1:14" x14ac:dyDescent="0.25">
      <c r="A132" s="996"/>
      <c r="B132" s="996"/>
      <c r="C132" s="996"/>
      <c r="D132" s="996"/>
      <c r="E132" s="996"/>
      <c r="F132" s="996"/>
      <c r="G132" s="996"/>
      <c r="H132" s="996"/>
      <c r="I132" s="996"/>
      <c r="J132" s="996"/>
      <c r="K132" s="996"/>
      <c r="L132" s="996"/>
      <c r="M132" s="996"/>
      <c r="N132" s="996"/>
    </row>
    <row r="133" spans="1:14" x14ac:dyDescent="0.25">
      <c r="A133" s="996"/>
      <c r="B133" s="996"/>
      <c r="C133" s="996"/>
      <c r="D133" s="996"/>
      <c r="E133" s="996"/>
      <c r="F133" s="996"/>
      <c r="G133" s="996"/>
      <c r="H133" s="996"/>
      <c r="I133" s="996"/>
      <c r="J133" s="996"/>
      <c r="K133" s="996"/>
      <c r="L133" s="996"/>
      <c r="M133" s="996"/>
      <c r="N133" s="996"/>
    </row>
    <row r="134" spans="1:14" x14ac:dyDescent="0.25">
      <c r="A134" s="996"/>
      <c r="B134" s="996"/>
      <c r="C134" s="996"/>
      <c r="D134" s="996"/>
      <c r="E134" s="996"/>
      <c r="F134" s="996"/>
      <c r="G134" s="996"/>
      <c r="H134" s="996"/>
      <c r="I134" s="996"/>
      <c r="J134" s="996"/>
      <c r="K134" s="996"/>
      <c r="L134" s="996"/>
      <c r="M134" s="996"/>
      <c r="N134" s="996"/>
    </row>
    <row r="135" spans="1:14" x14ac:dyDescent="0.25">
      <c r="A135" s="996"/>
      <c r="B135" s="996"/>
      <c r="C135" s="996"/>
      <c r="D135" s="996"/>
      <c r="E135" s="996"/>
      <c r="F135" s="996"/>
      <c r="G135" s="996"/>
      <c r="H135" s="996"/>
      <c r="I135" s="996"/>
      <c r="J135" s="996"/>
      <c r="K135" s="996"/>
      <c r="L135" s="996"/>
      <c r="M135" s="996"/>
      <c r="N135" s="996"/>
    </row>
    <row r="136" spans="1:14" x14ac:dyDescent="0.25">
      <c r="A136" s="996"/>
      <c r="B136" s="996"/>
      <c r="C136" s="996"/>
      <c r="D136" s="996"/>
      <c r="E136" s="996"/>
      <c r="F136" s="996"/>
      <c r="G136" s="996"/>
      <c r="H136" s="996"/>
      <c r="I136" s="996"/>
      <c r="J136" s="996"/>
      <c r="K136" s="996"/>
      <c r="L136" s="996"/>
      <c r="M136" s="996"/>
      <c r="N136" s="996"/>
    </row>
    <row r="137" spans="1:14" x14ac:dyDescent="0.25">
      <c r="A137" s="996"/>
      <c r="B137" s="996"/>
      <c r="C137" s="996"/>
      <c r="D137" s="996"/>
      <c r="E137" s="996"/>
      <c r="F137" s="996"/>
      <c r="G137" s="996"/>
      <c r="H137" s="996"/>
      <c r="I137" s="996"/>
      <c r="J137" s="996"/>
      <c r="K137" s="996"/>
      <c r="L137" s="996"/>
      <c r="M137" s="996"/>
      <c r="N137" s="996"/>
    </row>
    <row r="138" spans="1:14" x14ac:dyDescent="0.25">
      <c r="A138" s="996"/>
      <c r="B138" s="996"/>
      <c r="C138" s="996"/>
      <c r="D138" s="996"/>
      <c r="E138" s="996"/>
      <c r="F138" s="996"/>
      <c r="G138" s="996"/>
      <c r="H138" s="996"/>
      <c r="I138" s="996"/>
      <c r="J138" s="996"/>
      <c r="K138" s="996"/>
      <c r="L138" s="996"/>
      <c r="M138" s="996"/>
      <c r="N138" s="996"/>
    </row>
    <row r="139" spans="1:14" x14ac:dyDescent="0.25">
      <c r="A139" s="996"/>
      <c r="B139" s="996"/>
      <c r="C139" s="996"/>
      <c r="D139" s="996"/>
      <c r="E139" s="996"/>
      <c r="F139" s="996"/>
      <c r="G139" s="996"/>
      <c r="H139" s="996"/>
      <c r="I139" s="996"/>
      <c r="J139" s="996"/>
      <c r="K139" s="996"/>
      <c r="L139" s="996"/>
      <c r="M139" s="996"/>
      <c r="N139" s="996"/>
    </row>
    <row r="140" spans="1:14" x14ac:dyDescent="0.25">
      <c r="A140" s="996"/>
      <c r="B140" s="996"/>
      <c r="C140" s="996"/>
      <c r="D140" s="996"/>
      <c r="E140" s="996"/>
      <c r="F140" s="996"/>
      <c r="G140" s="996"/>
      <c r="H140" s="996"/>
      <c r="I140" s="996"/>
      <c r="J140" s="996"/>
      <c r="K140" s="996"/>
      <c r="L140" s="996"/>
      <c r="M140" s="996"/>
      <c r="N140" s="996"/>
    </row>
    <row r="141" spans="1:14" x14ac:dyDescent="0.25">
      <c r="A141" s="996"/>
      <c r="B141" s="996"/>
      <c r="C141" s="996"/>
      <c r="D141" s="996"/>
      <c r="E141" s="996"/>
      <c r="F141" s="996"/>
      <c r="G141" s="996"/>
      <c r="H141" s="996"/>
      <c r="I141" s="996"/>
      <c r="J141" s="996"/>
      <c r="K141" s="996"/>
      <c r="L141" s="996"/>
      <c r="M141" s="996"/>
      <c r="N141" s="996"/>
    </row>
    <row r="142" spans="1:14" x14ac:dyDescent="0.25">
      <c r="A142" s="996"/>
      <c r="B142" s="996"/>
      <c r="C142" s="996"/>
      <c r="D142" s="996"/>
      <c r="E142" s="996"/>
      <c r="F142" s="996"/>
      <c r="G142" s="996"/>
      <c r="H142" s="996"/>
      <c r="I142" s="996"/>
      <c r="J142" s="996"/>
      <c r="K142" s="996"/>
      <c r="L142" s="996"/>
      <c r="M142" s="996"/>
      <c r="N142" s="996"/>
    </row>
    <row r="143" spans="1:14" x14ac:dyDescent="0.25">
      <c r="A143" s="996"/>
      <c r="B143" s="996"/>
      <c r="C143" s="996"/>
      <c r="D143" s="996"/>
      <c r="E143" s="996"/>
      <c r="F143" s="996"/>
      <c r="G143" s="996"/>
      <c r="H143" s="996"/>
      <c r="I143" s="996"/>
      <c r="J143" s="996"/>
      <c r="K143" s="996"/>
      <c r="L143" s="996"/>
      <c r="M143" s="996"/>
      <c r="N143" s="996"/>
    </row>
    <row r="144" spans="1:14" x14ac:dyDescent="0.25">
      <c r="A144" s="996"/>
      <c r="B144" s="996"/>
      <c r="C144" s="996"/>
      <c r="D144" s="996"/>
      <c r="E144" s="996"/>
      <c r="F144" s="996"/>
      <c r="G144" s="996"/>
      <c r="H144" s="996"/>
      <c r="I144" s="996"/>
      <c r="J144" s="996"/>
      <c r="K144" s="996"/>
      <c r="L144" s="996"/>
      <c r="M144" s="996"/>
      <c r="N144" s="996"/>
    </row>
    <row r="145" spans="1:14" x14ac:dyDescent="0.25">
      <c r="A145" s="996"/>
      <c r="B145" s="996"/>
      <c r="C145" s="996"/>
      <c r="D145" s="996"/>
      <c r="E145" s="996"/>
      <c r="F145" s="996"/>
      <c r="G145" s="996"/>
      <c r="H145" s="996"/>
      <c r="I145" s="996"/>
      <c r="J145" s="996"/>
      <c r="K145" s="996"/>
      <c r="L145" s="996"/>
      <c r="M145" s="996"/>
      <c r="N145" s="996"/>
    </row>
    <row r="146" spans="1:14" x14ac:dyDescent="0.25">
      <c r="A146" s="996"/>
      <c r="B146" s="996"/>
      <c r="C146" s="996"/>
      <c r="D146" s="996"/>
      <c r="E146" s="996"/>
      <c r="F146" s="996"/>
      <c r="G146" s="996"/>
      <c r="H146" s="996"/>
      <c r="I146" s="996"/>
      <c r="J146" s="996"/>
      <c r="K146" s="996"/>
      <c r="L146" s="996"/>
      <c r="M146" s="996"/>
      <c r="N146" s="996"/>
    </row>
    <row r="147" spans="1:14" x14ac:dyDescent="0.25">
      <c r="A147" s="996"/>
      <c r="B147" s="996"/>
      <c r="C147" s="996"/>
      <c r="D147" s="996"/>
      <c r="E147" s="996"/>
      <c r="F147" s="996"/>
      <c r="G147" s="996"/>
      <c r="H147" s="996"/>
      <c r="I147" s="996"/>
      <c r="J147" s="996"/>
      <c r="K147" s="996"/>
      <c r="L147" s="996"/>
      <c r="M147" s="996"/>
      <c r="N147" s="996"/>
    </row>
    <row r="148" spans="1:14" x14ac:dyDescent="0.25">
      <c r="A148" s="996"/>
      <c r="B148" s="996"/>
      <c r="C148" s="996"/>
      <c r="D148" s="996"/>
      <c r="E148" s="996"/>
      <c r="F148" s="996"/>
      <c r="G148" s="996"/>
      <c r="H148" s="996"/>
      <c r="I148" s="996"/>
      <c r="J148" s="996"/>
      <c r="K148" s="996"/>
      <c r="L148" s="996"/>
      <c r="M148" s="996"/>
      <c r="N148" s="996"/>
    </row>
    <row r="149" spans="1:14" x14ac:dyDescent="0.25">
      <c r="A149" s="996"/>
      <c r="B149" s="996"/>
      <c r="C149" s="996"/>
      <c r="D149" s="996"/>
      <c r="E149" s="996"/>
      <c r="F149" s="996"/>
      <c r="G149" s="996"/>
      <c r="H149" s="996"/>
      <c r="I149" s="996"/>
      <c r="J149" s="996"/>
      <c r="K149" s="996"/>
      <c r="L149" s="996"/>
      <c r="M149" s="996"/>
      <c r="N149" s="996"/>
    </row>
    <row r="150" spans="1:14" x14ac:dyDescent="0.25">
      <c r="A150" s="996"/>
      <c r="B150" s="996"/>
      <c r="C150" s="996"/>
      <c r="D150" s="996"/>
      <c r="E150" s="996"/>
      <c r="F150" s="996"/>
      <c r="G150" s="996"/>
      <c r="H150" s="996"/>
      <c r="I150" s="996"/>
      <c r="J150" s="996"/>
      <c r="K150" s="996"/>
      <c r="L150" s="996"/>
      <c r="M150" s="996"/>
      <c r="N150" s="996"/>
    </row>
    <row r="151" spans="1:14" x14ac:dyDescent="0.25">
      <c r="A151" s="996"/>
      <c r="B151" s="996"/>
      <c r="C151" s="996"/>
      <c r="D151" s="996"/>
      <c r="E151" s="996"/>
      <c r="F151" s="996"/>
      <c r="G151" s="996"/>
      <c r="H151" s="996"/>
      <c r="I151" s="996"/>
      <c r="J151" s="996"/>
      <c r="K151" s="996"/>
      <c r="L151" s="996"/>
      <c r="M151" s="996"/>
      <c r="N151" s="996"/>
    </row>
    <row r="152" spans="1:14" x14ac:dyDescent="0.25">
      <c r="A152" s="996"/>
      <c r="B152" s="996"/>
      <c r="C152" s="996"/>
      <c r="D152" s="996"/>
      <c r="E152" s="996"/>
      <c r="F152" s="996"/>
      <c r="G152" s="996"/>
      <c r="H152" s="996"/>
      <c r="I152" s="996"/>
      <c r="J152" s="996"/>
      <c r="K152" s="996"/>
      <c r="L152" s="996"/>
      <c r="M152" s="996"/>
      <c r="N152" s="996"/>
    </row>
    <row r="153" spans="1:14" x14ac:dyDescent="0.25">
      <c r="A153" s="996"/>
      <c r="B153" s="996"/>
      <c r="C153" s="996"/>
      <c r="D153" s="996"/>
      <c r="E153" s="996"/>
      <c r="F153" s="996"/>
      <c r="G153" s="996"/>
      <c r="H153" s="996"/>
      <c r="I153" s="996"/>
      <c r="J153" s="996"/>
      <c r="K153" s="996"/>
      <c r="L153" s="996"/>
      <c r="M153" s="996"/>
      <c r="N153" s="996"/>
    </row>
    <row r="154" spans="1:14" x14ac:dyDescent="0.25">
      <c r="A154" s="996"/>
      <c r="B154" s="996"/>
      <c r="C154" s="996"/>
      <c r="D154" s="996"/>
      <c r="E154" s="996"/>
      <c r="F154" s="996"/>
      <c r="G154" s="996"/>
      <c r="H154" s="996"/>
      <c r="I154" s="996"/>
      <c r="J154" s="996"/>
      <c r="K154" s="996"/>
      <c r="L154" s="996"/>
      <c r="M154" s="996"/>
      <c r="N154" s="996"/>
    </row>
    <row r="155" spans="1:14" x14ac:dyDescent="0.25">
      <c r="A155" s="996"/>
      <c r="B155" s="996"/>
      <c r="C155" s="996"/>
      <c r="D155" s="996"/>
      <c r="E155" s="996"/>
      <c r="F155" s="996"/>
      <c r="G155" s="996"/>
      <c r="H155" s="996"/>
      <c r="I155" s="996"/>
      <c r="J155" s="996"/>
      <c r="K155" s="996"/>
      <c r="L155" s="996"/>
      <c r="M155" s="996"/>
      <c r="N155" s="996"/>
    </row>
    <row r="156" spans="1:14" x14ac:dyDescent="0.25">
      <c r="A156" s="996"/>
      <c r="B156" s="996"/>
      <c r="C156" s="996"/>
      <c r="D156" s="996"/>
      <c r="E156" s="996"/>
      <c r="F156" s="996"/>
      <c r="G156" s="996"/>
      <c r="H156" s="996"/>
      <c r="I156" s="996"/>
      <c r="J156" s="996"/>
      <c r="K156" s="996"/>
      <c r="L156" s="996"/>
      <c r="M156" s="996"/>
      <c r="N156" s="996"/>
    </row>
    <row r="157" spans="1:14" x14ac:dyDescent="0.25">
      <c r="A157" s="996"/>
      <c r="B157" s="996"/>
      <c r="C157" s="996"/>
      <c r="D157" s="996"/>
      <c r="E157" s="996"/>
      <c r="F157" s="996"/>
      <c r="G157" s="996"/>
      <c r="H157" s="996"/>
      <c r="I157" s="996"/>
      <c r="J157" s="996"/>
      <c r="K157" s="996"/>
      <c r="L157" s="996"/>
      <c r="M157" s="996"/>
      <c r="N157" s="996"/>
    </row>
    <row r="158" spans="1:14" x14ac:dyDescent="0.25">
      <c r="A158" s="996"/>
      <c r="B158" s="996"/>
      <c r="C158" s="996"/>
      <c r="D158" s="996"/>
      <c r="E158" s="996"/>
      <c r="F158" s="996"/>
      <c r="G158" s="996"/>
      <c r="H158" s="996"/>
      <c r="I158" s="996"/>
      <c r="J158" s="996"/>
      <c r="K158" s="996"/>
      <c r="L158" s="996"/>
      <c r="M158" s="996"/>
      <c r="N158" s="996"/>
    </row>
    <row r="159" spans="1:14" x14ac:dyDescent="0.25">
      <c r="A159" s="996"/>
      <c r="B159" s="996"/>
      <c r="C159" s="996"/>
      <c r="D159" s="996"/>
      <c r="E159" s="996"/>
      <c r="F159" s="996"/>
      <c r="G159" s="996"/>
      <c r="H159" s="996"/>
      <c r="I159" s="996"/>
      <c r="J159" s="996"/>
      <c r="K159" s="996"/>
      <c r="L159" s="996"/>
      <c r="M159" s="996"/>
      <c r="N159" s="996"/>
    </row>
    <row r="160" spans="1:14" x14ac:dyDescent="0.25">
      <c r="A160" s="996"/>
      <c r="B160" s="996"/>
      <c r="C160" s="996"/>
      <c r="D160" s="996"/>
      <c r="E160" s="996"/>
      <c r="F160" s="996"/>
      <c r="G160" s="996"/>
      <c r="H160" s="996"/>
      <c r="I160" s="996"/>
      <c r="J160" s="996"/>
      <c r="K160" s="996"/>
      <c r="L160" s="996"/>
      <c r="M160" s="996"/>
      <c r="N160" s="996"/>
    </row>
    <row r="161" spans="1:14" x14ac:dyDescent="0.25">
      <c r="A161" s="996"/>
      <c r="B161" s="996"/>
      <c r="C161" s="996"/>
      <c r="D161" s="996"/>
      <c r="E161" s="996"/>
      <c r="F161" s="996"/>
      <c r="G161" s="996"/>
      <c r="H161" s="996"/>
      <c r="I161" s="996"/>
      <c r="J161" s="996"/>
      <c r="K161" s="996"/>
      <c r="L161" s="996"/>
      <c r="M161" s="996"/>
      <c r="N161" s="996"/>
    </row>
    <row r="162" spans="1:14" x14ac:dyDescent="0.25">
      <c r="A162" s="996"/>
      <c r="B162" s="996"/>
      <c r="C162" s="996"/>
      <c r="D162" s="996"/>
      <c r="E162" s="996"/>
      <c r="F162" s="996"/>
      <c r="G162" s="996"/>
      <c r="H162" s="996"/>
      <c r="I162" s="996"/>
      <c r="J162" s="996"/>
      <c r="K162" s="996"/>
      <c r="L162" s="996"/>
      <c r="M162" s="996"/>
      <c r="N162" s="996"/>
    </row>
    <row r="163" spans="1:14" x14ac:dyDescent="0.25">
      <c r="A163" s="996"/>
      <c r="B163" s="996"/>
      <c r="C163" s="996"/>
      <c r="D163" s="996"/>
      <c r="E163" s="996"/>
      <c r="F163" s="996"/>
      <c r="G163" s="996"/>
      <c r="H163" s="996"/>
      <c r="I163" s="996"/>
      <c r="J163" s="996"/>
      <c r="K163" s="996"/>
      <c r="L163" s="996"/>
      <c r="M163" s="996"/>
      <c r="N163" s="996"/>
    </row>
    <row r="164" spans="1:14" x14ac:dyDescent="0.25">
      <c r="A164" s="996"/>
      <c r="B164" s="996"/>
      <c r="C164" s="996"/>
      <c r="D164" s="996"/>
      <c r="E164" s="996"/>
      <c r="F164" s="996"/>
      <c r="G164" s="996"/>
      <c r="H164" s="996"/>
      <c r="I164" s="996"/>
      <c r="J164" s="996"/>
      <c r="K164" s="996"/>
      <c r="L164" s="996"/>
      <c r="M164" s="996"/>
      <c r="N164" s="996"/>
    </row>
    <row r="165" spans="1:14" x14ac:dyDescent="0.25">
      <c r="A165" s="996"/>
      <c r="B165" s="996"/>
      <c r="C165" s="996"/>
      <c r="D165" s="996"/>
      <c r="E165" s="996"/>
      <c r="F165" s="996"/>
      <c r="G165" s="996"/>
      <c r="H165" s="996"/>
      <c r="I165" s="996"/>
      <c r="J165" s="996"/>
      <c r="K165" s="996"/>
      <c r="L165" s="996"/>
      <c r="M165" s="996"/>
      <c r="N165" s="996"/>
    </row>
    <row r="166" spans="1:14" x14ac:dyDescent="0.25">
      <c r="A166" s="996"/>
      <c r="B166" s="996"/>
      <c r="C166" s="996"/>
      <c r="D166" s="996"/>
      <c r="E166" s="996"/>
      <c r="F166" s="996"/>
      <c r="G166" s="996"/>
      <c r="H166" s="996"/>
      <c r="I166" s="996"/>
      <c r="J166" s="996"/>
      <c r="K166" s="996"/>
      <c r="L166" s="996"/>
      <c r="M166" s="996"/>
      <c r="N166" s="996"/>
    </row>
    <row r="167" spans="1:14" x14ac:dyDescent="0.25">
      <c r="A167" s="996"/>
      <c r="B167" s="996"/>
      <c r="C167" s="996"/>
      <c r="D167" s="996"/>
      <c r="E167" s="996"/>
      <c r="F167" s="996"/>
      <c r="G167" s="996"/>
      <c r="H167" s="996"/>
      <c r="I167" s="996"/>
      <c r="J167" s="996"/>
      <c r="K167" s="996"/>
      <c r="L167" s="996"/>
      <c r="M167" s="996"/>
      <c r="N167" s="996"/>
    </row>
    <row r="168" spans="1:14" x14ac:dyDescent="0.25">
      <c r="A168" s="996"/>
      <c r="B168" s="996"/>
      <c r="C168" s="996"/>
      <c r="D168" s="996"/>
      <c r="E168" s="996"/>
      <c r="F168" s="996"/>
      <c r="G168" s="996"/>
      <c r="H168" s="996"/>
      <c r="I168" s="996"/>
      <c r="J168" s="996"/>
      <c r="K168" s="996"/>
      <c r="L168" s="996"/>
      <c r="M168" s="996"/>
      <c r="N168" s="996"/>
    </row>
    <row r="169" spans="1:14" x14ac:dyDescent="0.25">
      <c r="A169" s="996"/>
      <c r="B169" s="996"/>
      <c r="C169" s="996"/>
      <c r="D169" s="996"/>
      <c r="E169" s="996"/>
      <c r="F169" s="996"/>
      <c r="G169" s="996"/>
      <c r="H169" s="996"/>
      <c r="I169" s="996"/>
      <c r="J169" s="996"/>
      <c r="K169" s="996"/>
      <c r="L169" s="996"/>
      <c r="M169" s="996"/>
      <c r="N169" s="996"/>
    </row>
    <row r="170" spans="1:14" x14ac:dyDescent="0.25">
      <c r="A170" s="996"/>
      <c r="B170" s="996"/>
      <c r="C170" s="996"/>
      <c r="D170" s="996"/>
      <c r="E170" s="996"/>
      <c r="F170" s="996"/>
      <c r="G170" s="996"/>
      <c r="H170" s="996"/>
      <c r="I170" s="996"/>
      <c r="J170" s="996"/>
      <c r="K170" s="996"/>
      <c r="L170" s="996"/>
      <c r="M170" s="996"/>
      <c r="N170" s="996"/>
    </row>
    <row r="171" spans="1:14" x14ac:dyDescent="0.25">
      <c r="A171" s="996"/>
      <c r="B171" s="996"/>
      <c r="C171" s="996"/>
      <c r="D171" s="996"/>
      <c r="E171" s="996"/>
      <c r="F171" s="996"/>
      <c r="G171" s="996"/>
      <c r="H171" s="996"/>
      <c r="I171" s="996"/>
      <c r="J171" s="996"/>
      <c r="K171" s="996"/>
      <c r="L171" s="996"/>
      <c r="M171" s="996"/>
      <c r="N171" s="996"/>
    </row>
    <row r="172" spans="1:14" x14ac:dyDescent="0.25">
      <c r="A172" s="996"/>
      <c r="B172" s="996"/>
      <c r="C172" s="996"/>
      <c r="D172" s="996"/>
      <c r="E172" s="996"/>
      <c r="F172" s="996"/>
      <c r="G172" s="996"/>
      <c r="H172" s="996"/>
      <c r="I172" s="996"/>
      <c r="J172" s="996"/>
      <c r="K172" s="996"/>
      <c r="L172" s="996"/>
      <c r="M172" s="996"/>
      <c r="N172" s="996"/>
    </row>
    <row r="173" spans="1:14" x14ac:dyDescent="0.25">
      <c r="A173" s="996"/>
      <c r="B173" s="996"/>
      <c r="C173" s="996"/>
      <c r="D173" s="996"/>
      <c r="E173" s="996"/>
      <c r="F173" s="996"/>
      <c r="G173" s="996"/>
      <c r="H173" s="996"/>
      <c r="I173" s="996"/>
      <c r="J173" s="996"/>
      <c r="K173" s="996"/>
      <c r="L173" s="996"/>
      <c r="M173" s="996"/>
      <c r="N173" s="996"/>
    </row>
    <row r="174" spans="1:14" x14ac:dyDescent="0.25">
      <c r="A174" s="996"/>
      <c r="B174" s="996"/>
      <c r="C174" s="996"/>
      <c r="D174" s="996"/>
      <c r="E174" s="996"/>
      <c r="F174" s="996"/>
      <c r="G174" s="996"/>
      <c r="H174" s="996"/>
      <c r="I174" s="996"/>
      <c r="J174" s="996"/>
      <c r="K174" s="996"/>
      <c r="L174" s="996"/>
      <c r="M174" s="996"/>
      <c r="N174" s="996"/>
    </row>
    <row r="175" spans="1:14" x14ac:dyDescent="0.25">
      <c r="A175" s="996"/>
      <c r="B175" s="996"/>
      <c r="C175" s="996"/>
      <c r="D175" s="996"/>
      <c r="E175" s="996"/>
      <c r="F175" s="996"/>
      <c r="G175" s="996"/>
      <c r="H175" s="996"/>
      <c r="I175" s="996"/>
      <c r="J175" s="996"/>
      <c r="K175" s="996"/>
      <c r="L175" s="996"/>
      <c r="M175" s="996"/>
      <c r="N175" s="996"/>
    </row>
    <row r="176" spans="1:14" x14ac:dyDescent="0.25">
      <c r="A176" s="996"/>
      <c r="B176" s="996"/>
      <c r="C176" s="996"/>
      <c r="D176" s="996"/>
      <c r="E176" s="996"/>
      <c r="F176" s="996"/>
      <c r="G176" s="996"/>
      <c r="H176" s="996"/>
      <c r="I176" s="996"/>
      <c r="J176" s="996"/>
      <c r="K176" s="996"/>
      <c r="L176" s="996"/>
      <c r="M176" s="996"/>
      <c r="N176" s="996"/>
    </row>
    <row r="177" spans="1:14" x14ac:dyDescent="0.25">
      <c r="A177" s="996"/>
      <c r="B177" s="996"/>
      <c r="C177" s="996"/>
      <c r="D177" s="996"/>
      <c r="E177" s="996"/>
      <c r="F177" s="996"/>
      <c r="G177" s="996"/>
      <c r="H177" s="996"/>
      <c r="I177" s="996"/>
      <c r="J177" s="996"/>
      <c r="K177" s="996"/>
      <c r="L177" s="996"/>
      <c r="M177" s="996"/>
      <c r="N177" s="996"/>
    </row>
    <row r="178" spans="1:14" x14ac:dyDescent="0.25">
      <c r="A178" s="996"/>
      <c r="B178" s="996"/>
      <c r="C178" s="996"/>
      <c r="D178" s="996"/>
      <c r="E178" s="996"/>
      <c r="F178" s="996"/>
      <c r="G178" s="996"/>
      <c r="H178" s="996"/>
      <c r="I178" s="996"/>
      <c r="J178" s="996"/>
      <c r="K178" s="996"/>
      <c r="L178" s="996"/>
      <c r="M178" s="996"/>
      <c r="N178" s="996"/>
    </row>
    <row r="179" spans="1:14" x14ac:dyDescent="0.25">
      <c r="A179" s="996"/>
      <c r="B179" s="996"/>
      <c r="C179" s="996"/>
      <c r="D179" s="996"/>
      <c r="E179" s="996"/>
      <c r="F179" s="996"/>
      <c r="G179" s="996"/>
      <c r="H179" s="996"/>
      <c r="I179" s="996"/>
      <c r="J179" s="996"/>
      <c r="K179" s="996"/>
      <c r="L179" s="996"/>
      <c r="M179" s="996"/>
      <c r="N179" s="996"/>
    </row>
    <row r="180" spans="1:14" x14ac:dyDescent="0.25">
      <c r="A180" s="996"/>
      <c r="B180" s="996"/>
      <c r="C180" s="996"/>
      <c r="D180" s="996"/>
      <c r="E180" s="996"/>
      <c r="F180" s="996"/>
      <c r="G180" s="996"/>
      <c r="H180" s="996"/>
      <c r="I180" s="996"/>
      <c r="J180" s="996"/>
      <c r="K180" s="996"/>
      <c r="L180" s="996"/>
      <c r="M180" s="996"/>
      <c r="N180" s="996"/>
    </row>
    <row r="181" spans="1:14" x14ac:dyDescent="0.25">
      <c r="A181" s="996"/>
      <c r="B181" s="996"/>
      <c r="C181" s="996"/>
      <c r="D181" s="996"/>
      <c r="E181" s="996"/>
      <c r="F181" s="996"/>
      <c r="G181" s="996"/>
      <c r="H181" s="996"/>
      <c r="I181" s="996"/>
      <c r="J181" s="996"/>
      <c r="K181" s="996"/>
      <c r="L181" s="996"/>
      <c r="M181" s="996"/>
      <c r="N181" s="996"/>
    </row>
    <row r="182" spans="1:14" x14ac:dyDescent="0.25">
      <c r="A182" s="996"/>
      <c r="B182" s="996"/>
      <c r="C182" s="996"/>
      <c r="D182" s="996"/>
      <c r="E182" s="996"/>
      <c r="F182" s="996"/>
      <c r="G182" s="996"/>
      <c r="H182" s="996"/>
      <c r="I182" s="996"/>
      <c r="J182" s="996"/>
      <c r="K182" s="996"/>
      <c r="L182" s="996"/>
      <c r="M182" s="996"/>
      <c r="N182" s="996"/>
    </row>
    <row r="183" spans="1:14" x14ac:dyDescent="0.25">
      <c r="A183" s="996"/>
      <c r="B183" s="996"/>
      <c r="C183" s="996"/>
      <c r="D183" s="996"/>
      <c r="E183" s="996"/>
      <c r="F183" s="996"/>
      <c r="G183" s="996"/>
      <c r="H183" s="996"/>
      <c r="I183" s="996"/>
      <c r="J183" s="996"/>
      <c r="K183" s="996"/>
      <c r="L183" s="996"/>
      <c r="M183" s="996"/>
      <c r="N183" s="996"/>
    </row>
    <row r="184" spans="1:14" x14ac:dyDescent="0.25">
      <c r="A184" s="996"/>
      <c r="B184" s="996"/>
      <c r="C184" s="996"/>
      <c r="D184" s="996"/>
      <c r="E184" s="996"/>
      <c r="F184" s="996"/>
      <c r="G184" s="996"/>
      <c r="H184" s="996"/>
      <c r="I184" s="996"/>
      <c r="J184" s="996"/>
      <c r="K184" s="996"/>
      <c r="L184" s="996"/>
      <c r="M184" s="996"/>
      <c r="N184" s="996"/>
    </row>
    <row r="185" spans="1:14" x14ac:dyDescent="0.25">
      <c r="A185" s="996"/>
      <c r="B185" s="996"/>
      <c r="C185" s="996"/>
      <c r="D185" s="996"/>
      <c r="E185" s="996"/>
      <c r="F185" s="996"/>
      <c r="G185" s="996"/>
      <c r="H185" s="996"/>
      <c r="I185" s="996"/>
      <c r="J185" s="996"/>
      <c r="K185" s="996"/>
      <c r="L185" s="996"/>
      <c r="M185" s="996"/>
      <c r="N185" s="996"/>
    </row>
    <row r="186" spans="1:14" x14ac:dyDescent="0.25">
      <c r="A186" s="996"/>
      <c r="B186" s="996"/>
      <c r="C186" s="996"/>
      <c r="D186" s="996"/>
      <c r="E186" s="996"/>
      <c r="F186" s="996"/>
      <c r="G186" s="996"/>
      <c r="H186" s="996"/>
      <c r="I186" s="996"/>
      <c r="J186" s="996"/>
      <c r="K186" s="996"/>
      <c r="L186" s="996"/>
      <c r="M186" s="996"/>
      <c r="N186" s="996"/>
    </row>
    <row r="187" spans="1:14" x14ac:dyDescent="0.25">
      <c r="A187" s="996"/>
      <c r="B187" s="996"/>
      <c r="C187" s="996"/>
      <c r="D187" s="996"/>
      <c r="E187" s="996"/>
      <c r="F187" s="996"/>
      <c r="G187" s="996"/>
      <c r="H187" s="996"/>
      <c r="I187" s="996"/>
      <c r="J187" s="996"/>
      <c r="K187" s="996"/>
      <c r="L187" s="996"/>
      <c r="M187" s="996"/>
      <c r="N187" s="996"/>
    </row>
    <row r="188" spans="1:14" x14ac:dyDescent="0.25">
      <c r="A188" s="996"/>
      <c r="B188" s="996"/>
      <c r="C188" s="996"/>
      <c r="D188" s="996"/>
      <c r="E188" s="996"/>
      <c r="F188" s="996"/>
      <c r="G188" s="996"/>
      <c r="H188" s="996"/>
      <c r="I188" s="996"/>
      <c r="J188" s="996"/>
      <c r="K188" s="996"/>
      <c r="L188" s="996"/>
      <c r="M188" s="996"/>
      <c r="N188" s="996"/>
    </row>
    <row r="189" spans="1:14" x14ac:dyDescent="0.25">
      <c r="A189" s="996"/>
      <c r="B189" s="996"/>
      <c r="C189" s="996"/>
      <c r="D189" s="996"/>
      <c r="E189" s="996"/>
      <c r="F189" s="996"/>
      <c r="G189" s="996"/>
      <c r="H189" s="996"/>
      <c r="I189" s="996"/>
      <c r="J189" s="996"/>
      <c r="K189" s="996"/>
      <c r="L189" s="996"/>
      <c r="M189" s="996"/>
      <c r="N189" s="996"/>
    </row>
    <row r="190" spans="1:14" x14ac:dyDescent="0.25">
      <c r="A190" s="996"/>
      <c r="B190" s="996"/>
      <c r="C190" s="996"/>
      <c r="D190" s="996"/>
      <c r="E190" s="996"/>
      <c r="F190" s="996"/>
      <c r="G190" s="996"/>
      <c r="H190" s="996"/>
      <c r="I190" s="996"/>
      <c r="J190" s="996"/>
      <c r="K190" s="996"/>
      <c r="L190" s="996"/>
      <c r="M190" s="996"/>
      <c r="N190" s="996"/>
    </row>
    <row r="191" spans="1:14" x14ac:dyDescent="0.25">
      <c r="A191" s="996"/>
      <c r="B191" s="996"/>
      <c r="C191" s="996"/>
      <c r="D191" s="996"/>
      <c r="E191" s="996"/>
      <c r="F191" s="996"/>
      <c r="G191" s="996"/>
      <c r="H191" s="996"/>
      <c r="I191" s="996"/>
      <c r="J191" s="996"/>
      <c r="K191" s="996"/>
      <c r="L191" s="996"/>
      <c r="M191" s="996"/>
      <c r="N191" s="996"/>
    </row>
    <row r="192" spans="1:14" x14ac:dyDescent="0.25">
      <c r="A192" s="996"/>
      <c r="B192" s="996"/>
      <c r="C192" s="996"/>
      <c r="D192" s="996"/>
      <c r="E192" s="996"/>
      <c r="F192" s="996"/>
      <c r="G192" s="996"/>
      <c r="H192" s="996"/>
      <c r="I192" s="996"/>
      <c r="J192" s="996"/>
      <c r="K192" s="996"/>
      <c r="L192" s="996"/>
      <c r="M192" s="996"/>
      <c r="N192" s="996"/>
    </row>
    <row r="193" spans="1:14" x14ac:dyDescent="0.25">
      <c r="A193" s="996"/>
      <c r="B193" s="996"/>
      <c r="C193" s="996"/>
      <c r="D193" s="996"/>
      <c r="E193" s="996"/>
      <c r="F193" s="996"/>
      <c r="G193" s="996"/>
      <c r="H193" s="996"/>
      <c r="I193" s="996"/>
      <c r="J193" s="996"/>
      <c r="K193" s="996"/>
      <c r="L193" s="996"/>
      <c r="M193" s="996"/>
      <c r="N193" s="996"/>
    </row>
    <row r="194" spans="1:14" x14ac:dyDescent="0.25">
      <c r="A194" s="996"/>
      <c r="B194" s="996"/>
      <c r="C194" s="996"/>
      <c r="D194" s="996"/>
      <c r="E194" s="996"/>
      <c r="F194" s="996"/>
      <c r="G194" s="996"/>
      <c r="H194" s="996"/>
      <c r="I194" s="996"/>
      <c r="J194" s="996"/>
      <c r="K194" s="996"/>
      <c r="L194" s="996"/>
      <c r="M194" s="996"/>
      <c r="N194" s="996"/>
    </row>
    <row r="195" spans="1:14" x14ac:dyDescent="0.25">
      <c r="A195" s="996"/>
      <c r="B195" s="996"/>
      <c r="C195" s="996"/>
      <c r="D195" s="996"/>
      <c r="E195" s="996"/>
      <c r="F195" s="996"/>
      <c r="G195" s="996"/>
      <c r="H195" s="996"/>
      <c r="I195" s="996"/>
      <c r="J195" s="996"/>
      <c r="K195" s="996"/>
      <c r="L195" s="996"/>
      <c r="M195" s="996"/>
      <c r="N195" s="996"/>
    </row>
    <row r="196" spans="1:14" x14ac:dyDescent="0.25">
      <c r="A196" s="996"/>
      <c r="B196" s="996"/>
      <c r="C196" s="996"/>
      <c r="D196" s="996"/>
      <c r="E196" s="996"/>
      <c r="F196" s="996"/>
      <c r="G196" s="996"/>
      <c r="H196" s="996"/>
      <c r="I196" s="996"/>
      <c r="J196" s="996"/>
      <c r="K196" s="996"/>
      <c r="L196" s="996"/>
      <c r="M196" s="996"/>
      <c r="N196" s="996"/>
    </row>
    <row r="197" spans="1:14" x14ac:dyDescent="0.25">
      <c r="A197" s="996"/>
      <c r="B197" s="996"/>
      <c r="C197" s="996"/>
      <c r="D197" s="996"/>
      <c r="E197" s="996"/>
      <c r="F197" s="996"/>
      <c r="G197" s="996"/>
      <c r="H197" s="996"/>
      <c r="I197" s="996"/>
      <c r="J197" s="996"/>
      <c r="K197" s="996"/>
      <c r="L197" s="996"/>
      <c r="M197" s="996"/>
      <c r="N197" s="996"/>
    </row>
    <row r="198" spans="1:14" x14ac:dyDescent="0.25">
      <c r="A198" s="996"/>
      <c r="B198" s="996"/>
      <c r="C198" s="996"/>
      <c r="D198" s="996"/>
      <c r="E198" s="996"/>
      <c r="F198" s="996"/>
      <c r="G198" s="996"/>
      <c r="H198" s="996"/>
      <c r="I198" s="996"/>
      <c r="J198" s="996"/>
      <c r="K198" s="996"/>
      <c r="L198" s="996"/>
      <c r="M198" s="996"/>
      <c r="N198" s="996"/>
    </row>
    <row r="199" spans="1:14" x14ac:dyDescent="0.25">
      <c r="A199" s="996"/>
      <c r="B199" s="996"/>
      <c r="C199" s="996"/>
      <c r="D199" s="996"/>
      <c r="E199" s="996"/>
      <c r="F199" s="996"/>
      <c r="G199" s="996"/>
      <c r="H199" s="996"/>
      <c r="I199" s="996"/>
      <c r="J199" s="996"/>
      <c r="K199" s="996"/>
      <c r="L199" s="996"/>
      <c r="M199" s="996"/>
      <c r="N199" s="996"/>
    </row>
    <row r="200" spans="1:14" x14ac:dyDescent="0.25">
      <c r="A200" s="996"/>
      <c r="B200" s="996"/>
      <c r="C200" s="996"/>
      <c r="D200" s="996"/>
      <c r="E200" s="996"/>
      <c r="F200" s="996"/>
      <c r="G200" s="996"/>
      <c r="H200" s="996"/>
      <c r="I200" s="996"/>
      <c r="J200" s="996"/>
      <c r="K200" s="996"/>
      <c r="L200" s="996"/>
      <c r="M200" s="996"/>
      <c r="N200" s="996"/>
    </row>
    <row r="201" spans="1:14" x14ac:dyDescent="0.25">
      <c r="A201" s="996"/>
      <c r="B201" s="996"/>
      <c r="C201" s="996"/>
      <c r="D201" s="996"/>
      <c r="E201" s="996"/>
      <c r="F201" s="996"/>
      <c r="G201" s="996"/>
      <c r="H201" s="996"/>
      <c r="I201" s="996"/>
      <c r="J201" s="996"/>
      <c r="K201" s="996"/>
      <c r="L201" s="996"/>
      <c r="M201" s="996"/>
      <c r="N201" s="996"/>
    </row>
    <row r="202" spans="1:14" x14ac:dyDescent="0.25">
      <c r="A202" s="996"/>
      <c r="B202" s="996"/>
      <c r="C202" s="996"/>
      <c r="D202" s="996"/>
      <c r="E202" s="996"/>
      <c r="F202" s="996"/>
      <c r="G202" s="996"/>
      <c r="H202" s="996"/>
      <c r="I202" s="996"/>
      <c r="J202" s="996"/>
      <c r="K202" s="996"/>
      <c r="L202" s="996"/>
      <c r="M202" s="996"/>
      <c r="N202" s="996"/>
    </row>
    <row r="203" spans="1:14" x14ac:dyDescent="0.25">
      <c r="A203" s="996"/>
      <c r="B203" s="996"/>
      <c r="C203" s="996"/>
      <c r="D203" s="996"/>
      <c r="E203" s="996"/>
      <c r="F203" s="996"/>
      <c r="G203" s="996"/>
      <c r="H203" s="996"/>
      <c r="I203" s="996"/>
      <c r="J203" s="996"/>
      <c r="K203" s="996"/>
      <c r="L203" s="996"/>
      <c r="M203" s="996"/>
      <c r="N203" s="996"/>
    </row>
    <row r="204" spans="1:14" x14ac:dyDescent="0.25">
      <c r="A204" s="996"/>
      <c r="B204" s="996"/>
      <c r="C204" s="996"/>
      <c r="D204" s="996"/>
      <c r="E204" s="996"/>
      <c r="F204" s="996"/>
      <c r="G204" s="996"/>
      <c r="H204" s="996"/>
      <c r="I204" s="996"/>
      <c r="J204" s="996"/>
      <c r="K204" s="996"/>
      <c r="L204" s="996"/>
      <c r="M204" s="996"/>
      <c r="N204" s="996"/>
    </row>
    <row r="205" spans="1:14" x14ac:dyDescent="0.25">
      <c r="A205" s="996"/>
      <c r="B205" s="996"/>
      <c r="C205" s="996"/>
      <c r="D205" s="996"/>
      <c r="E205" s="996"/>
      <c r="F205" s="996"/>
      <c r="G205" s="996"/>
      <c r="H205" s="996"/>
      <c r="I205" s="996"/>
      <c r="J205" s="996"/>
      <c r="K205" s="996"/>
      <c r="L205" s="996"/>
      <c r="M205" s="996"/>
      <c r="N205" s="996"/>
    </row>
    <row r="206" spans="1:14" x14ac:dyDescent="0.25">
      <c r="A206" s="996"/>
      <c r="B206" s="996"/>
      <c r="C206" s="996"/>
      <c r="D206" s="996"/>
      <c r="E206" s="996"/>
      <c r="F206" s="996"/>
      <c r="G206" s="996"/>
      <c r="H206" s="996"/>
      <c r="I206" s="996"/>
      <c r="J206" s="996"/>
      <c r="K206" s="996"/>
      <c r="L206" s="996"/>
      <c r="M206" s="996"/>
      <c r="N206" s="996"/>
    </row>
    <row r="207" spans="1:14" x14ac:dyDescent="0.25">
      <c r="A207" s="996"/>
      <c r="B207" s="996"/>
      <c r="C207" s="996"/>
      <c r="D207" s="996"/>
      <c r="E207" s="996"/>
      <c r="F207" s="996"/>
      <c r="G207" s="996"/>
      <c r="H207" s="996"/>
      <c r="I207" s="996"/>
      <c r="J207" s="996"/>
      <c r="K207" s="996"/>
      <c r="L207" s="996"/>
      <c r="M207" s="996"/>
      <c r="N207" s="996"/>
    </row>
    <row r="208" spans="1:14" x14ac:dyDescent="0.25">
      <c r="A208" s="996"/>
      <c r="B208" s="996"/>
      <c r="C208" s="996"/>
      <c r="D208" s="996"/>
      <c r="E208" s="996"/>
      <c r="F208" s="996"/>
      <c r="G208" s="996"/>
      <c r="H208" s="996"/>
      <c r="I208" s="996"/>
      <c r="J208" s="997"/>
      <c r="K208" s="997"/>
      <c r="L208" s="997"/>
      <c r="M208" s="997"/>
      <c r="N208" s="997"/>
    </row>
    <row r="209" spans="1:9" x14ac:dyDescent="0.25">
      <c r="A209" s="996"/>
      <c r="B209" s="996"/>
      <c r="C209" s="996"/>
      <c r="D209" s="996"/>
      <c r="E209" s="996"/>
      <c r="F209" s="996"/>
      <c r="G209" s="996"/>
      <c r="H209" s="996"/>
      <c r="I209" s="996"/>
    </row>
    <row r="210" spans="1:9" x14ac:dyDescent="0.25">
      <c r="A210" s="996"/>
      <c r="B210" s="996"/>
      <c r="C210" s="996"/>
      <c r="D210" s="996"/>
      <c r="E210" s="996"/>
      <c r="F210" s="996"/>
      <c r="G210" s="996"/>
      <c r="H210" s="996"/>
      <c r="I210" s="996"/>
    </row>
    <row r="211" spans="1:9" x14ac:dyDescent="0.25">
      <c r="A211" s="996"/>
      <c r="B211" s="996"/>
      <c r="C211" s="996"/>
      <c r="D211" s="996"/>
      <c r="E211" s="996"/>
      <c r="F211" s="996"/>
      <c r="G211" s="996"/>
      <c r="H211" s="996"/>
      <c r="I211" s="996"/>
    </row>
    <row r="212" spans="1:9" x14ac:dyDescent="0.25">
      <c r="A212" s="996"/>
      <c r="B212" s="996"/>
      <c r="C212" s="996"/>
      <c r="D212" s="996"/>
      <c r="E212" s="996"/>
      <c r="F212" s="996"/>
      <c r="G212" s="996"/>
      <c r="H212" s="996"/>
      <c r="I212" s="996"/>
    </row>
    <row r="213" spans="1:9" x14ac:dyDescent="0.25">
      <c r="A213" s="996"/>
      <c r="B213" s="996"/>
      <c r="C213" s="996"/>
      <c r="D213" s="996"/>
      <c r="E213" s="996"/>
      <c r="F213" s="996"/>
      <c r="G213" s="996"/>
      <c r="H213" s="996"/>
      <c r="I213" s="996"/>
    </row>
    <row r="214" spans="1:9" x14ac:dyDescent="0.25">
      <c r="A214" s="996"/>
      <c r="B214" s="996"/>
      <c r="C214" s="996"/>
      <c r="D214" s="996"/>
      <c r="E214" s="996"/>
      <c r="F214" s="996"/>
      <c r="G214" s="996"/>
      <c r="H214" s="996"/>
      <c r="I214" s="996"/>
    </row>
    <row r="215" spans="1:9" x14ac:dyDescent="0.25">
      <c r="A215" s="996"/>
      <c r="B215" s="996"/>
      <c r="C215" s="996"/>
      <c r="D215" s="996"/>
      <c r="E215" s="996"/>
      <c r="F215" s="996"/>
      <c r="G215" s="996"/>
      <c r="H215" s="996"/>
      <c r="I215" s="996"/>
    </row>
    <row r="216" spans="1:9" x14ac:dyDescent="0.25">
      <c r="A216" s="996"/>
      <c r="B216" s="996"/>
      <c r="C216" s="996"/>
      <c r="D216" s="996"/>
      <c r="E216" s="996"/>
      <c r="F216" s="996"/>
      <c r="G216" s="996"/>
      <c r="H216" s="996"/>
      <c r="I216" s="996"/>
    </row>
    <row r="217" spans="1:9" x14ac:dyDescent="0.25">
      <c r="A217" s="996"/>
      <c r="B217" s="996"/>
      <c r="C217" s="996"/>
      <c r="D217" s="996"/>
      <c r="E217" s="996"/>
      <c r="F217" s="996"/>
      <c r="G217" s="996"/>
      <c r="H217" s="996"/>
      <c r="I217" s="996"/>
    </row>
    <row r="218" spans="1:9" x14ac:dyDescent="0.25">
      <c r="A218" s="996"/>
      <c r="B218" s="996"/>
      <c r="C218" s="996"/>
      <c r="D218" s="996"/>
      <c r="E218" s="996"/>
      <c r="F218" s="996"/>
      <c r="G218" s="996"/>
      <c r="H218" s="996"/>
      <c r="I218" s="996"/>
    </row>
    <row r="219" spans="1:9" x14ac:dyDescent="0.25">
      <c r="A219" s="996"/>
      <c r="B219" s="996"/>
      <c r="C219" s="996"/>
      <c r="D219" s="996"/>
      <c r="E219" s="996"/>
      <c r="F219" s="996"/>
      <c r="G219" s="996"/>
      <c r="H219" s="996"/>
      <c r="I219" s="996"/>
    </row>
    <row r="220" spans="1:9" x14ac:dyDescent="0.25">
      <c r="A220" s="996"/>
      <c r="B220" s="996"/>
      <c r="C220" s="996"/>
      <c r="D220" s="996"/>
      <c r="E220" s="996"/>
      <c r="F220" s="996"/>
      <c r="G220" s="996"/>
      <c r="H220" s="996"/>
      <c r="I220" s="996"/>
    </row>
    <row r="221" spans="1:9" x14ac:dyDescent="0.25">
      <c r="A221" s="996"/>
      <c r="B221" s="996"/>
      <c r="C221" s="996"/>
      <c r="D221" s="996"/>
      <c r="E221" s="996"/>
      <c r="F221" s="996"/>
      <c r="G221" s="996"/>
      <c r="H221" s="996"/>
      <c r="I221" s="996"/>
    </row>
    <row r="222" spans="1:9" x14ac:dyDescent="0.25">
      <c r="A222" s="996"/>
      <c r="B222" s="996"/>
      <c r="C222" s="996"/>
      <c r="D222" s="996"/>
      <c r="E222" s="996"/>
      <c r="F222" s="996"/>
      <c r="G222" s="996"/>
      <c r="H222" s="996"/>
      <c r="I222" s="996"/>
    </row>
    <row r="223" spans="1:9" x14ac:dyDescent="0.25">
      <c r="A223" s="996"/>
      <c r="B223" s="996"/>
      <c r="C223" s="996"/>
      <c r="D223" s="996"/>
      <c r="E223" s="996"/>
      <c r="F223" s="996"/>
      <c r="G223" s="996"/>
      <c r="H223" s="996"/>
      <c r="I223" s="996"/>
    </row>
    <row r="224" spans="1:9" x14ac:dyDescent="0.25">
      <c r="A224" s="996"/>
      <c r="B224" s="996"/>
      <c r="C224" s="996"/>
      <c r="D224" s="996"/>
      <c r="E224" s="996"/>
      <c r="F224" s="996"/>
      <c r="G224" s="996"/>
      <c r="H224" s="996"/>
      <c r="I224" s="996"/>
    </row>
    <row r="225" spans="1:9" x14ac:dyDescent="0.25">
      <c r="A225" s="996"/>
      <c r="B225" s="996"/>
      <c r="C225" s="996"/>
      <c r="D225" s="996"/>
      <c r="E225" s="996"/>
      <c r="F225" s="996"/>
      <c r="G225" s="996"/>
      <c r="H225" s="996"/>
      <c r="I225" s="996"/>
    </row>
    <row r="226" spans="1:9" x14ac:dyDescent="0.25">
      <c r="A226" s="996"/>
      <c r="B226" s="996"/>
      <c r="C226" s="996"/>
      <c r="D226" s="996"/>
      <c r="E226" s="996"/>
      <c r="F226" s="996"/>
      <c r="G226" s="996"/>
      <c r="H226" s="996"/>
      <c r="I226" s="996"/>
    </row>
    <row r="227" spans="1:9" x14ac:dyDescent="0.25">
      <c r="A227" s="996"/>
      <c r="B227" s="996"/>
      <c r="C227" s="996"/>
      <c r="D227" s="996"/>
      <c r="E227" s="996"/>
      <c r="F227" s="996"/>
      <c r="G227" s="996"/>
      <c r="H227" s="996"/>
      <c r="I227" s="996"/>
    </row>
    <row r="228" spans="1:9" x14ac:dyDescent="0.25">
      <c r="A228" s="996"/>
      <c r="B228" s="996"/>
      <c r="C228" s="996"/>
      <c r="D228" s="996"/>
      <c r="E228" s="996"/>
      <c r="F228" s="996"/>
      <c r="G228" s="996"/>
      <c r="H228" s="996"/>
      <c r="I228" s="996"/>
    </row>
    <row r="229" spans="1:9" x14ac:dyDescent="0.25">
      <c r="A229" s="996"/>
      <c r="B229" s="996"/>
      <c r="C229" s="996"/>
      <c r="D229" s="996"/>
      <c r="E229" s="996"/>
      <c r="F229" s="996"/>
      <c r="G229" s="996"/>
      <c r="H229" s="996"/>
      <c r="I229" s="996"/>
    </row>
    <row r="230" spans="1:9" x14ac:dyDescent="0.25">
      <c r="A230" s="996"/>
      <c r="B230" s="996"/>
      <c r="C230" s="996"/>
      <c r="D230" s="996"/>
      <c r="E230" s="996"/>
      <c r="F230" s="996"/>
      <c r="G230" s="996"/>
      <c r="H230" s="996"/>
      <c r="I230" s="996"/>
    </row>
    <row r="231" spans="1:9" x14ac:dyDescent="0.25">
      <c r="A231" s="996"/>
      <c r="B231" s="996"/>
      <c r="C231" s="996"/>
      <c r="D231" s="996"/>
      <c r="E231" s="996"/>
      <c r="F231" s="996"/>
      <c r="G231" s="996"/>
      <c r="H231" s="996"/>
      <c r="I231" s="996"/>
    </row>
    <row r="232" spans="1:9" x14ac:dyDescent="0.25">
      <c r="A232" s="996"/>
      <c r="B232" s="996"/>
      <c r="C232" s="996"/>
      <c r="D232" s="996"/>
      <c r="E232" s="996"/>
      <c r="F232" s="996"/>
      <c r="G232" s="996"/>
      <c r="H232" s="996"/>
      <c r="I232" s="996"/>
    </row>
    <row r="233" spans="1:9" x14ac:dyDescent="0.25">
      <c r="A233" s="996"/>
      <c r="B233" s="996"/>
      <c r="C233" s="996"/>
      <c r="D233" s="996"/>
      <c r="E233" s="996"/>
      <c r="F233" s="996"/>
      <c r="G233" s="996"/>
      <c r="H233" s="996"/>
      <c r="I233" s="996"/>
    </row>
    <row r="234" spans="1:9" x14ac:dyDescent="0.25">
      <c r="A234" s="996"/>
      <c r="B234" s="996"/>
      <c r="C234" s="996"/>
      <c r="D234" s="996"/>
      <c r="E234" s="996"/>
      <c r="F234" s="996"/>
      <c r="G234" s="996"/>
      <c r="H234" s="996"/>
      <c r="I234" s="996"/>
    </row>
    <row r="235" spans="1:9" x14ac:dyDescent="0.25">
      <c r="A235" s="996"/>
      <c r="B235" s="996"/>
      <c r="C235" s="996"/>
      <c r="D235" s="996"/>
      <c r="E235" s="996"/>
      <c r="F235" s="996"/>
      <c r="G235" s="996"/>
      <c r="H235" s="996"/>
      <c r="I235" s="996"/>
    </row>
    <row r="236" spans="1:9" x14ac:dyDescent="0.25">
      <c r="A236" s="996"/>
      <c r="B236" s="996"/>
      <c r="C236" s="996"/>
      <c r="D236" s="996"/>
      <c r="E236" s="996"/>
      <c r="F236" s="996"/>
      <c r="G236" s="996"/>
      <c r="H236" s="996"/>
      <c r="I236" s="996"/>
    </row>
    <row r="237" spans="1:9" x14ac:dyDescent="0.25">
      <c r="A237" s="996"/>
      <c r="B237" s="996"/>
      <c r="C237" s="996"/>
      <c r="D237" s="996"/>
      <c r="E237" s="996"/>
      <c r="F237" s="996"/>
      <c r="G237" s="996"/>
      <c r="H237" s="996"/>
      <c r="I237" s="996"/>
    </row>
    <row r="238" spans="1:9" x14ac:dyDescent="0.25">
      <c r="A238" s="996"/>
      <c r="B238" s="996"/>
      <c r="C238" s="996"/>
      <c r="D238" s="996"/>
      <c r="E238" s="996"/>
      <c r="F238" s="996"/>
      <c r="G238" s="996"/>
      <c r="H238" s="996"/>
      <c r="I238" s="996"/>
    </row>
    <row r="239" spans="1:9" x14ac:dyDescent="0.25">
      <c r="A239" s="996"/>
      <c r="B239" s="996"/>
      <c r="C239" s="996"/>
      <c r="D239" s="996"/>
      <c r="E239" s="996"/>
      <c r="F239" s="996"/>
      <c r="G239" s="996"/>
      <c r="H239" s="996"/>
      <c r="I239" s="996"/>
    </row>
    <row r="240" spans="1:9" x14ac:dyDescent="0.25">
      <c r="A240" s="996"/>
      <c r="B240" s="996"/>
      <c r="C240" s="996"/>
      <c r="D240" s="996"/>
      <c r="E240" s="996"/>
      <c r="F240" s="996"/>
      <c r="G240" s="996"/>
      <c r="H240" s="996"/>
      <c r="I240" s="996"/>
    </row>
    <row r="241" spans="1:9" x14ac:dyDescent="0.25">
      <c r="A241" s="996"/>
      <c r="B241" s="996"/>
      <c r="C241" s="996"/>
      <c r="D241" s="996"/>
      <c r="E241" s="996"/>
      <c r="F241" s="996"/>
      <c r="G241" s="996"/>
      <c r="H241" s="996"/>
      <c r="I241" s="996"/>
    </row>
    <row r="242" spans="1:9" x14ac:dyDescent="0.25">
      <c r="A242" s="996"/>
      <c r="B242" s="996"/>
      <c r="C242" s="996"/>
      <c r="D242" s="996"/>
      <c r="E242" s="996"/>
      <c r="F242" s="996"/>
      <c r="G242" s="996"/>
      <c r="H242" s="996"/>
      <c r="I242" s="996"/>
    </row>
    <row r="243" spans="1:9" x14ac:dyDescent="0.25">
      <c r="A243" s="996"/>
      <c r="B243" s="996"/>
      <c r="C243" s="996"/>
      <c r="D243" s="996"/>
      <c r="E243" s="996"/>
      <c r="F243" s="996"/>
      <c r="G243" s="996"/>
      <c r="H243" s="996"/>
      <c r="I243" s="996"/>
    </row>
    <row r="244" spans="1:9" x14ac:dyDescent="0.25">
      <c r="A244" s="996"/>
      <c r="B244" s="996"/>
      <c r="C244" s="996"/>
      <c r="D244" s="996"/>
      <c r="E244" s="996"/>
      <c r="F244" s="996"/>
      <c r="G244" s="996"/>
      <c r="H244" s="996"/>
      <c r="I244" s="996"/>
    </row>
    <row r="245" spans="1:9" x14ac:dyDescent="0.25">
      <c r="A245" s="996"/>
      <c r="B245" s="996"/>
      <c r="C245" s="996"/>
      <c r="D245" s="996"/>
      <c r="E245" s="996"/>
      <c r="F245" s="996"/>
      <c r="G245" s="996"/>
      <c r="H245" s="996"/>
      <c r="I245" s="996"/>
    </row>
    <row r="246" spans="1:9" x14ac:dyDescent="0.25">
      <c r="A246" s="996"/>
      <c r="B246" s="996"/>
      <c r="C246" s="996"/>
      <c r="D246" s="996"/>
      <c r="E246" s="996"/>
      <c r="F246" s="996"/>
      <c r="G246" s="996"/>
      <c r="H246" s="996"/>
      <c r="I246" s="996"/>
    </row>
    <row r="247" spans="1:9" x14ac:dyDescent="0.25">
      <c r="A247" s="996"/>
      <c r="B247" s="996"/>
      <c r="C247" s="996"/>
      <c r="D247" s="996"/>
      <c r="E247" s="996"/>
      <c r="F247" s="996"/>
      <c r="G247" s="996"/>
      <c r="H247" s="996"/>
      <c r="I247" s="996"/>
    </row>
    <row r="248" spans="1:9" x14ac:dyDescent="0.25">
      <c r="A248" s="996"/>
      <c r="B248" s="996"/>
      <c r="C248" s="996"/>
      <c r="D248" s="996"/>
      <c r="E248" s="996"/>
      <c r="F248" s="996"/>
      <c r="G248" s="996"/>
      <c r="H248" s="996"/>
      <c r="I248" s="996"/>
    </row>
    <row r="249" spans="1:9" x14ac:dyDescent="0.25">
      <c r="A249" s="996"/>
      <c r="B249" s="996"/>
      <c r="C249" s="996"/>
      <c r="D249" s="996"/>
      <c r="E249" s="996"/>
      <c r="F249" s="996"/>
      <c r="G249" s="996"/>
      <c r="H249" s="996"/>
      <c r="I249" s="996"/>
    </row>
    <row r="250" spans="1:9" x14ac:dyDescent="0.25">
      <c r="A250" s="996"/>
      <c r="B250" s="996"/>
      <c r="C250" s="996"/>
      <c r="D250" s="996"/>
      <c r="E250" s="996"/>
      <c r="F250" s="996"/>
      <c r="G250" s="996"/>
      <c r="H250" s="996"/>
      <c r="I250" s="996"/>
    </row>
    <row r="251" spans="1:9" x14ac:dyDescent="0.25">
      <c r="A251" s="996"/>
      <c r="B251" s="996"/>
      <c r="C251" s="996"/>
      <c r="D251" s="996"/>
      <c r="E251" s="996"/>
      <c r="F251" s="996"/>
      <c r="G251" s="996"/>
      <c r="H251" s="996"/>
      <c r="I251" s="996"/>
    </row>
    <row r="252" spans="1:9" x14ac:dyDescent="0.25">
      <c r="A252" s="996"/>
      <c r="B252" s="996"/>
      <c r="C252" s="996"/>
      <c r="D252" s="996"/>
      <c r="E252" s="996"/>
      <c r="F252" s="996"/>
      <c r="G252" s="996"/>
      <c r="H252" s="996"/>
      <c r="I252" s="996"/>
    </row>
    <row r="253" spans="1:9" x14ac:dyDescent="0.25">
      <c r="A253" s="996"/>
      <c r="B253" s="996"/>
      <c r="C253" s="996"/>
      <c r="D253" s="996"/>
      <c r="E253" s="996"/>
      <c r="F253" s="996"/>
      <c r="G253" s="996"/>
      <c r="H253" s="996"/>
      <c r="I253" s="996"/>
    </row>
    <row r="254" spans="1:9" x14ac:dyDescent="0.25">
      <c r="A254" s="996"/>
      <c r="B254" s="996"/>
      <c r="C254" s="996"/>
      <c r="D254" s="996"/>
      <c r="E254" s="996"/>
      <c r="F254" s="996"/>
      <c r="G254" s="996"/>
      <c r="H254" s="996"/>
      <c r="I254" s="996"/>
    </row>
    <row r="255" spans="1:9" x14ac:dyDescent="0.25">
      <c r="A255" s="996"/>
      <c r="B255" s="996"/>
      <c r="C255" s="996"/>
      <c r="D255" s="996"/>
      <c r="E255" s="996"/>
      <c r="F255" s="996"/>
      <c r="G255" s="996"/>
      <c r="H255" s="996"/>
      <c r="I255" s="996"/>
    </row>
    <row r="256" spans="1:9" x14ac:dyDescent="0.25">
      <c r="A256" s="996"/>
      <c r="B256" s="996"/>
      <c r="C256" s="996"/>
      <c r="D256" s="996"/>
      <c r="E256" s="996"/>
      <c r="F256" s="996"/>
      <c r="G256" s="996"/>
      <c r="H256" s="996"/>
      <c r="I256" s="996"/>
    </row>
    <row r="257" spans="1:9" x14ac:dyDescent="0.25">
      <c r="A257" s="996"/>
      <c r="B257" s="996"/>
      <c r="C257" s="996"/>
      <c r="D257" s="996"/>
      <c r="E257" s="996"/>
      <c r="F257" s="996"/>
      <c r="G257" s="996"/>
      <c r="H257" s="996"/>
      <c r="I257" s="996"/>
    </row>
    <row r="258" spans="1:9" x14ac:dyDescent="0.25">
      <c r="A258" s="996"/>
      <c r="B258" s="996"/>
      <c r="C258" s="996"/>
      <c r="D258" s="996"/>
      <c r="E258" s="996"/>
      <c r="F258" s="996"/>
      <c r="G258" s="996"/>
      <c r="H258" s="996"/>
      <c r="I258" s="996"/>
    </row>
    <row r="259" spans="1:9" x14ac:dyDescent="0.25">
      <c r="A259" s="996"/>
      <c r="B259" s="996"/>
      <c r="C259" s="996"/>
      <c r="D259" s="996"/>
      <c r="E259" s="996"/>
      <c r="F259" s="996"/>
      <c r="G259" s="996"/>
      <c r="H259" s="996"/>
      <c r="I259" s="996"/>
    </row>
    <row r="260" spans="1:9" x14ac:dyDescent="0.25">
      <c r="A260" s="996"/>
      <c r="B260" s="996"/>
      <c r="C260" s="996"/>
      <c r="D260" s="996"/>
      <c r="E260" s="996"/>
      <c r="F260" s="996"/>
      <c r="G260" s="996"/>
      <c r="H260" s="996"/>
      <c r="I260" s="996"/>
    </row>
    <row r="261" spans="1:9" x14ac:dyDescent="0.25">
      <c r="A261" s="996"/>
      <c r="B261" s="996"/>
      <c r="C261" s="996"/>
      <c r="D261" s="996"/>
      <c r="E261" s="996"/>
      <c r="F261" s="996"/>
      <c r="G261" s="996"/>
      <c r="H261" s="996"/>
      <c r="I261" s="996"/>
    </row>
    <row r="262" spans="1:9" x14ac:dyDescent="0.25">
      <c r="A262" s="996"/>
      <c r="B262" s="996"/>
      <c r="C262" s="996"/>
      <c r="D262" s="996"/>
      <c r="E262" s="996"/>
      <c r="F262" s="996"/>
      <c r="G262" s="996"/>
      <c r="H262" s="996"/>
      <c r="I262" s="996"/>
    </row>
    <row r="263" spans="1:9" x14ac:dyDescent="0.25">
      <c r="A263" s="996"/>
      <c r="B263" s="996"/>
      <c r="C263" s="996"/>
      <c r="D263" s="996"/>
      <c r="E263" s="996"/>
      <c r="F263" s="996"/>
      <c r="G263" s="996"/>
      <c r="H263" s="996"/>
      <c r="I263" s="996"/>
    </row>
    <row r="264" spans="1:9" x14ac:dyDescent="0.25">
      <c r="A264" s="996"/>
      <c r="B264" s="996"/>
      <c r="C264" s="996"/>
      <c r="D264" s="996"/>
      <c r="E264" s="996"/>
      <c r="F264" s="996"/>
      <c r="G264" s="996"/>
      <c r="H264" s="996"/>
      <c r="I264" s="996"/>
    </row>
    <row r="265" spans="1:9" x14ac:dyDescent="0.25">
      <c r="A265" s="996"/>
      <c r="B265" s="996"/>
      <c r="C265" s="996"/>
      <c r="D265" s="996"/>
      <c r="E265" s="996"/>
      <c r="F265" s="996"/>
      <c r="G265" s="996"/>
      <c r="H265" s="996"/>
      <c r="I265" s="996"/>
    </row>
    <row r="266" spans="1:9" x14ac:dyDescent="0.25">
      <c r="A266" s="996"/>
      <c r="B266" s="996"/>
      <c r="C266" s="996"/>
      <c r="D266" s="996"/>
      <c r="E266" s="996"/>
      <c r="F266" s="996"/>
      <c r="G266" s="996"/>
      <c r="H266" s="996"/>
      <c r="I266" s="996"/>
    </row>
    <row r="267" spans="1:9" x14ac:dyDescent="0.25">
      <c r="A267" s="996"/>
      <c r="B267" s="996"/>
      <c r="C267" s="996"/>
      <c r="D267" s="996"/>
      <c r="E267" s="996"/>
      <c r="F267" s="996"/>
      <c r="G267" s="996"/>
      <c r="H267" s="996"/>
      <c r="I267" s="996"/>
    </row>
    <row r="268" spans="1:9" x14ac:dyDescent="0.25">
      <c r="A268" s="996"/>
      <c r="B268" s="996"/>
      <c r="C268" s="996"/>
      <c r="D268" s="996"/>
      <c r="E268" s="996"/>
      <c r="F268" s="996"/>
      <c r="G268" s="996"/>
      <c r="H268" s="996"/>
      <c r="I268" s="996"/>
    </row>
    <row r="269" spans="1:9" x14ac:dyDescent="0.25">
      <c r="A269" s="996"/>
      <c r="B269" s="996"/>
      <c r="C269" s="996"/>
      <c r="D269" s="996"/>
      <c r="E269" s="996"/>
      <c r="F269" s="996"/>
      <c r="G269" s="996"/>
      <c r="H269" s="996"/>
      <c r="I269" s="996"/>
    </row>
    <row r="270" spans="1:9" x14ac:dyDescent="0.25">
      <c r="A270" s="996"/>
      <c r="B270" s="996"/>
      <c r="C270" s="996"/>
      <c r="D270" s="996"/>
      <c r="E270" s="996"/>
      <c r="F270" s="996"/>
      <c r="G270" s="996"/>
      <c r="H270" s="996"/>
      <c r="I270" s="996"/>
    </row>
    <row r="271" spans="1:9" x14ac:dyDescent="0.25">
      <c r="A271" s="996"/>
      <c r="B271" s="996"/>
      <c r="C271" s="996"/>
      <c r="D271" s="996"/>
      <c r="E271" s="996"/>
      <c r="F271" s="996"/>
      <c r="G271" s="996"/>
      <c r="H271" s="996"/>
      <c r="I271" s="996"/>
    </row>
    <row r="272" spans="1:9" x14ac:dyDescent="0.25">
      <c r="A272" s="996"/>
      <c r="B272" s="996"/>
      <c r="C272" s="996"/>
      <c r="D272" s="996"/>
      <c r="E272" s="996"/>
      <c r="F272" s="996"/>
      <c r="G272" s="996"/>
      <c r="H272" s="996"/>
      <c r="I272" s="996"/>
    </row>
    <row r="273" spans="1:9" x14ac:dyDescent="0.25">
      <c r="A273" s="996"/>
      <c r="B273" s="996"/>
      <c r="C273" s="996"/>
      <c r="D273" s="996"/>
      <c r="E273" s="996"/>
      <c r="F273" s="996"/>
      <c r="G273" s="996"/>
      <c r="H273" s="996"/>
      <c r="I273" s="996"/>
    </row>
    <row r="274" spans="1:9" x14ac:dyDescent="0.25">
      <c r="A274" s="996"/>
      <c r="B274" s="996"/>
      <c r="C274" s="996"/>
      <c r="D274" s="996"/>
      <c r="E274" s="996"/>
      <c r="F274" s="996"/>
      <c r="G274" s="996"/>
      <c r="H274" s="996"/>
      <c r="I274" s="996"/>
    </row>
    <row r="275" spans="1:9" x14ac:dyDescent="0.25">
      <c r="A275" s="996"/>
      <c r="B275" s="996"/>
      <c r="C275" s="996"/>
      <c r="D275" s="996"/>
      <c r="E275" s="996"/>
      <c r="F275" s="996"/>
      <c r="G275" s="996"/>
      <c r="H275" s="996"/>
      <c r="I275" s="996"/>
    </row>
    <row r="276" spans="1:9" x14ac:dyDescent="0.25">
      <c r="A276" s="996"/>
      <c r="B276" s="996"/>
      <c r="C276" s="996"/>
      <c r="D276" s="996"/>
      <c r="E276" s="996"/>
      <c r="F276" s="996"/>
      <c r="G276" s="996"/>
      <c r="H276" s="996"/>
      <c r="I276" s="996"/>
    </row>
    <row r="277" spans="1:9" x14ac:dyDescent="0.25">
      <c r="A277" s="996"/>
      <c r="B277" s="996"/>
      <c r="C277" s="996"/>
      <c r="D277" s="996"/>
      <c r="E277" s="996"/>
      <c r="F277" s="996"/>
      <c r="G277" s="996"/>
      <c r="H277" s="996"/>
      <c r="I277" s="996"/>
    </row>
    <row r="278" spans="1:9" x14ac:dyDescent="0.25">
      <c r="A278" s="996"/>
      <c r="B278" s="996"/>
      <c r="C278" s="996"/>
      <c r="D278" s="996"/>
      <c r="E278" s="996"/>
      <c r="F278" s="996"/>
      <c r="G278" s="996"/>
      <c r="H278" s="996"/>
      <c r="I278" s="996"/>
    </row>
    <row r="279" spans="1:9" x14ac:dyDescent="0.25">
      <c r="A279" s="996"/>
      <c r="B279" s="996"/>
      <c r="C279" s="996"/>
      <c r="D279" s="996"/>
      <c r="E279" s="996"/>
      <c r="F279" s="996"/>
      <c r="G279" s="996"/>
      <c r="H279" s="996"/>
      <c r="I279" s="996"/>
    </row>
  </sheetData>
  <hyperlinks>
    <hyperlink ref="B4" location="SU_A0900" display="SU_A0900"/>
    <hyperlink ref="F2" location="SU_A0900_BOM" display="Back to BOM"/>
  </hyperlinks>
  <pageMargins left="0.31496062992125984" right="0.31496062992125984" top="0.31496062992125984" bottom="0.39370078740157483" header="0.51181102362204722" footer="0.31496062992125984"/>
  <pageSetup paperSize="9" scale="66" fitToHeight="99" orientation="landscape" horizontalDpi="1200" verticalDpi="1200"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0"/>
  <sheetViews>
    <sheetView zoomScale="70" zoomScaleNormal="70" zoomScalePageLayoutView="70" workbookViewId="0">
      <selection activeCell="F15" sqref="F15"/>
    </sheetView>
  </sheetViews>
  <sheetFormatPr baseColWidth="10" defaultColWidth="11.5703125" defaultRowHeight="15" x14ac:dyDescent="0.25"/>
  <cols>
    <col min="1" max="1" width="11.5703125" style="103"/>
    <col min="2" max="2" width="38.42578125" style="103" customWidth="1"/>
    <col min="3" max="3" width="30.7109375" style="103" customWidth="1"/>
    <col min="4" max="6" width="11.5703125" style="103"/>
    <col min="7" max="7" width="35" style="103" customWidth="1"/>
    <col min="8" max="8" width="11.5703125" style="103"/>
    <col min="9" max="9" width="24.42578125" style="103" customWidth="1"/>
    <col min="10" max="10" width="10.7109375" style="103" customWidth="1"/>
    <col min="11" max="16384" width="11.5703125" style="103"/>
  </cols>
  <sheetData>
    <row r="1" spans="1:15" ht="14.45" x14ac:dyDescent="0.3">
      <c r="A1" s="1033"/>
      <c r="B1" s="1031"/>
      <c r="C1" s="1031"/>
      <c r="D1" s="1031"/>
      <c r="E1" s="1031"/>
      <c r="F1" s="1031"/>
      <c r="G1" s="1031"/>
      <c r="H1" s="1031"/>
      <c r="I1" s="1031"/>
      <c r="J1" s="1032"/>
      <c r="K1" s="1031"/>
      <c r="L1" s="1031"/>
      <c r="M1" s="1031"/>
      <c r="N1" s="1031"/>
      <c r="O1" s="1030"/>
    </row>
    <row r="2" spans="1:15" ht="14.45" x14ac:dyDescent="0.3">
      <c r="A2" s="1024" t="s">
        <v>0</v>
      </c>
      <c r="B2" s="104" t="s">
        <v>1</v>
      </c>
      <c r="C2" s="1006"/>
      <c r="D2" s="1006"/>
      <c r="E2" s="1006"/>
      <c r="F2" s="58" t="s">
        <v>2</v>
      </c>
      <c r="G2" s="1006"/>
      <c r="H2" s="1006"/>
      <c r="I2" s="1006"/>
      <c r="J2" s="1023" t="s">
        <v>3</v>
      </c>
      <c r="K2" s="1022">
        <v>81</v>
      </c>
      <c r="L2" s="1006"/>
      <c r="M2" s="1020" t="s">
        <v>18</v>
      </c>
      <c r="N2" s="1019">
        <f>N12+I18</f>
        <v>1.1510595579918244</v>
      </c>
      <c r="O2" s="128"/>
    </row>
    <row r="3" spans="1:15" ht="14.45" x14ac:dyDescent="0.3">
      <c r="A3" s="1017" t="s">
        <v>5</v>
      </c>
      <c r="B3" s="104" t="s">
        <v>106</v>
      </c>
      <c r="C3" s="1006"/>
      <c r="D3" s="1020" t="s">
        <v>8</v>
      </c>
      <c r="E3" s="58" t="s">
        <v>84</v>
      </c>
      <c r="F3" s="1006"/>
      <c r="G3" s="1006"/>
      <c r="H3" s="1006"/>
      <c r="I3" s="1006"/>
      <c r="J3" s="1006"/>
      <c r="K3" s="1006"/>
      <c r="L3" s="1006"/>
      <c r="M3" s="1018" t="s">
        <v>6</v>
      </c>
      <c r="N3" s="1021">
        <v>2</v>
      </c>
      <c r="O3" s="128"/>
    </row>
    <row r="4" spans="1:15" ht="14.45" x14ac:dyDescent="0.3">
      <c r="A4" s="1017" t="s">
        <v>7</v>
      </c>
      <c r="B4" s="58" t="str">
        <f>'SU A0900'!B4</f>
        <v xml:space="preserve">Rear Tie rod  </v>
      </c>
      <c r="C4" s="1006"/>
      <c r="D4" s="1018" t="s">
        <v>10</v>
      </c>
      <c r="E4" s="1006"/>
      <c r="F4" s="1006"/>
      <c r="G4" s="1006"/>
      <c r="H4" s="1006"/>
      <c r="I4" s="1006"/>
      <c r="J4" s="1020" t="s">
        <v>8</v>
      </c>
      <c r="K4" s="1006"/>
      <c r="L4" s="1006"/>
      <c r="M4" s="1006"/>
      <c r="N4" s="1006"/>
      <c r="O4" s="128"/>
    </row>
    <row r="5" spans="1:15" ht="14.45" x14ac:dyDescent="0.3">
      <c r="A5" s="1017" t="s">
        <v>17</v>
      </c>
      <c r="B5" s="889" t="s">
        <v>432</v>
      </c>
      <c r="C5" s="1006"/>
      <c r="D5" s="1018" t="s">
        <v>14</v>
      </c>
      <c r="E5" s="1006"/>
      <c r="F5" s="1006"/>
      <c r="G5" s="1006"/>
      <c r="H5" s="1006"/>
      <c r="I5" s="1006"/>
      <c r="J5" s="1018" t="s">
        <v>10</v>
      </c>
      <c r="K5" s="1006"/>
      <c r="L5" s="1006"/>
      <c r="M5" s="1020" t="s">
        <v>11</v>
      </c>
      <c r="N5" s="1019">
        <f>N3*N2</f>
        <v>2.3021191159836487</v>
      </c>
      <c r="O5" s="128"/>
    </row>
    <row r="6" spans="1:15" ht="14.45" x14ac:dyDescent="0.3">
      <c r="A6" s="1017" t="s">
        <v>9</v>
      </c>
      <c r="B6" s="103" t="s">
        <v>431</v>
      </c>
      <c r="C6" s="1006"/>
      <c r="D6" s="1006"/>
      <c r="E6" s="1006"/>
      <c r="F6" s="1006"/>
      <c r="G6" s="1006"/>
      <c r="H6" s="1006"/>
      <c r="I6" s="1006"/>
      <c r="J6" s="1018" t="s">
        <v>14</v>
      </c>
      <c r="K6" s="1006"/>
      <c r="L6" s="1006"/>
      <c r="M6" s="1006"/>
      <c r="N6" s="1006"/>
      <c r="O6" s="128"/>
    </row>
    <row r="7" spans="1:15" ht="14.45" x14ac:dyDescent="0.3">
      <c r="A7" s="1017" t="s">
        <v>12</v>
      </c>
      <c r="B7" s="104" t="s">
        <v>13</v>
      </c>
      <c r="C7" s="1006"/>
      <c r="D7" s="1006"/>
      <c r="E7" s="1006"/>
      <c r="F7" s="1006"/>
      <c r="G7" s="1006"/>
      <c r="H7" s="1006"/>
      <c r="I7" s="1006"/>
      <c r="J7" s="1006"/>
      <c r="K7" s="1006"/>
      <c r="L7" s="1006"/>
      <c r="M7" s="1006"/>
      <c r="N7" s="1006"/>
      <c r="O7" s="128"/>
    </row>
    <row r="8" spans="1:15" ht="14.45" x14ac:dyDescent="0.3">
      <c r="A8" s="1017" t="s">
        <v>15</v>
      </c>
      <c r="B8" s="104"/>
      <c r="C8" s="1006"/>
      <c r="D8" s="1006"/>
      <c r="E8" s="1006"/>
      <c r="F8" s="1006"/>
      <c r="G8" s="1006"/>
      <c r="H8" s="1006"/>
      <c r="I8" s="1006"/>
      <c r="J8" s="1006"/>
      <c r="K8" s="1006"/>
      <c r="L8" s="1006"/>
      <c r="M8" s="1006"/>
      <c r="N8" s="1006"/>
      <c r="O8" s="128"/>
    </row>
    <row r="9" spans="1:15" ht="14.45" x14ac:dyDescent="0.3">
      <c r="A9" s="1009"/>
      <c r="B9" s="1006"/>
      <c r="C9" s="1006"/>
      <c r="D9" s="1006"/>
      <c r="E9" s="1006"/>
      <c r="F9" s="1006"/>
      <c r="G9" s="1006"/>
      <c r="H9" s="1006"/>
      <c r="I9" s="1006"/>
      <c r="J9" s="1006"/>
      <c r="K9" s="1006"/>
      <c r="L9" s="1006"/>
      <c r="M9" s="1006"/>
      <c r="N9" s="1006"/>
      <c r="O9" s="128"/>
    </row>
    <row r="10" spans="1:15" ht="14.45" x14ac:dyDescent="0.3">
      <c r="A10" s="1008" t="s">
        <v>16</v>
      </c>
      <c r="B10" s="1007" t="s">
        <v>38</v>
      </c>
      <c r="C10" s="1007" t="s">
        <v>22</v>
      </c>
      <c r="D10" s="1007" t="s">
        <v>23</v>
      </c>
      <c r="E10" s="1007" t="s">
        <v>31</v>
      </c>
      <c r="F10" s="1007" t="s">
        <v>32</v>
      </c>
      <c r="G10" s="1007" t="s">
        <v>33</v>
      </c>
      <c r="H10" s="1007" t="s">
        <v>34</v>
      </c>
      <c r="I10" s="1007" t="s">
        <v>39</v>
      </c>
      <c r="J10" s="1007" t="s">
        <v>40</v>
      </c>
      <c r="K10" s="1007" t="s">
        <v>41</v>
      </c>
      <c r="L10" s="1007" t="s">
        <v>42</v>
      </c>
      <c r="M10" s="1007" t="s">
        <v>19</v>
      </c>
      <c r="N10" s="1007" t="s">
        <v>20</v>
      </c>
      <c r="O10" s="128"/>
    </row>
    <row r="11" spans="1:15" ht="16.149999999999999" customHeight="1" x14ac:dyDescent="0.3">
      <c r="A11" s="383">
        <v>10</v>
      </c>
      <c r="B11" s="1242" t="s">
        <v>110</v>
      </c>
      <c r="C11" s="1212" t="s">
        <v>157</v>
      </c>
      <c r="D11" s="1250">
        <v>2.25</v>
      </c>
      <c r="E11" s="1029">
        <f>J11*K11*L11</f>
        <v>6.9915359107477468E-2</v>
      </c>
      <c r="F11" s="383" t="s">
        <v>43</v>
      </c>
      <c r="G11" s="383"/>
      <c r="H11" s="206"/>
      <c r="I11" s="444" t="s">
        <v>148</v>
      </c>
      <c r="J11" s="207">
        <f>PI()*(9*10^-3)^2</f>
        <v>2.5446900494077327E-4</v>
      </c>
      <c r="K11" s="195">
        <v>3.5000000000000003E-2</v>
      </c>
      <c r="L11" s="191">
        <v>7850</v>
      </c>
      <c r="M11" s="208">
        <v>1</v>
      </c>
      <c r="N11" s="179">
        <f>D11*E11*M11</f>
        <v>0.15730955799182431</v>
      </c>
      <c r="O11" s="209"/>
    </row>
    <row r="12" spans="1:15" ht="14.45" x14ac:dyDescent="0.3">
      <c r="A12" s="1005"/>
      <c r="B12" s="1002"/>
      <c r="C12" s="1002"/>
      <c r="D12" s="1002"/>
      <c r="E12" s="1002"/>
      <c r="F12" s="1002"/>
      <c r="G12" s="1002"/>
      <c r="H12" s="1002"/>
      <c r="I12" s="1002"/>
      <c r="J12" s="1002"/>
      <c r="K12" s="1002"/>
      <c r="L12" s="1002"/>
      <c r="M12" s="1004" t="s">
        <v>20</v>
      </c>
      <c r="N12" s="1010">
        <f>N11</f>
        <v>0.15730955799182431</v>
      </c>
      <c r="O12" s="128"/>
    </row>
    <row r="13" spans="1:15" ht="14.45" x14ac:dyDescent="0.3">
      <c r="A13" s="1008" t="s">
        <v>16</v>
      </c>
      <c r="B13" s="1007" t="s">
        <v>21</v>
      </c>
      <c r="C13" s="1007" t="s">
        <v>22</v>
      </c>
      <c r="D13" s="1007" t="s">
        <v>23</v>
      </c>
      <c r="E13" s="1007" t="s">
        <v>24</v>
      </c>
      <c r="F13" s="1007" t="s">
        <v>19</v>
      </c>
      <c r="G13" s="1007" t="s">
        <v>25</v>
      </c>
      <c r="H13" s="1007" t="s">
        <v>26</v>
      </c>
      <c r="I13" s="1007" t="s">
        <v>20</v>
      </c>
      <c r="J13" s="1002"/>
      <c r="K13" s="1002"/>
      <c r="L13" s="1002"/>
      <c r="M13" s="1002"/>
      <c r="N13" s="1002"/>
      <c r="O13" s="128"/>
    </row>
    <row r="14" spans="1:15" ht="27.6" customHeight="1" x14ac:dyDescent="0.3">
      <c r="A14" s="1211">
        <v>10</v>
      </c>
      <c r="B14" s="1244" t="s">
        <v>551</v>
      </c>
      <c r="C14" s="1212"/>
      <c r="D14" s="1213">
        <v>1.3</v>
      </c>
      <c r="E14" s="177" t="s">
        <v>24</v>
      </c>
      <c r="F14" s="197">
        <v>1</v>
      </c>
      <c r="G14" s="211" t="s">
        <v>430</v>
      </c>
      <c r="H14" s="212">
        <f>1/8</f>
        <v>0.125</v>
      </c>
      <c r="I14" s="186">
        <f>D14*F14*H14</f>
        <v>0.16250000000000001</v>
      </c>
      <c r="J14" s="213"/>
      <c r="K14" s="213"/>
      <c r="L14" s="213"/>
      <c r="M14" s="213"/>
      <c r="N14" s="213"/>
      <c r="O14" s="214"/>
    </row>
    <row r="15" spans="1:15" ht="13.15" customHeight="1" x14ac:dyDescent="0.3">
      <c r="A15" s="1211">
        <v>20</v>
      </c>
      <c r="B15" s="1244" t="s">
        <v>80</v>
      </c>
      <c r="C15" s="1212" t="s">
        <v>98</v>
      </c>
      <c r="D15" s="1213">
        <v>0.04</v>
      </c>
      <c r="E15" s="177" t="s">
        <v>79</v>
      </c>
      <c r="F15" s="197">
        <v>5.5</v>
      </c>
      <c r="G15" s="1243" t="s">
        <v>93</v>
      </c>
      <c r="H15" s="1243">
        <v>3</v>
      </c>
      <c r="I15" s="186">
        <f>D15*F15*H15</f>
        <v>0.66</v>
      </c>
      <c r="J15" s="213"/>
      <c r="K15" s="213"/>
      <c r="L15" s="213"/>
      <c r="M15" s="213"/>
      <c r="N15" s="213"/>
      <c r="O15" s="214"/>
    </row>
    <row r="16" spans="1:15" ht="28.9" customHeight="1" x14ac:dyDescent="0.3">
      <c r="A16" s="1211">
        <v>30</v>
      </c>
      <c r="B16" s="1244" t="s">
        <v>552</v>
      </c>
      <c r="C16" s="1212"/>
      <c r="D16" s="1213">
        <v>0.65</v>
      </c>
      <c r="E16" s="196" t="s">
        <v>24</v>
      </c>
      <c r="F16" s="216">
        <v>1</v>
      </c>
      <c r="G16" s="211" t="s">
        <v>430</v>
      </c>
      <c r="H16" s="212">
        <f>1/8</f>
        <v>0.125</v>
      </c>
      <c r="I16" s="186">
        <f>D16*F16*H16</f>
        <v>8.1250000000000003E-2</v>
      </c>
      <c r="J16" s="217"/>
      <c r="K16" s="217"/>
      <c r="L16" s="217"/>
      <c r="M16" s="217"/>
      <c r="N16" s="217"/>
      <c r="O16" s="218"/>
    </row>
    <row r="17" spans="1:15" ht="16.899999999999999" customHeight="1" x14ac:dyDescent="0.3">
      <c r="A17" s="1211">
        <v>40</v>
      </c>
      <c r="B17" s="1244" t="s">
        <v>553</v>
      </c>
      <c r="C17" s="1212" t="s">
        <v>554</v>
      </c>
      <c r="D17" s="1213">
        <v>0.1</v>
      </c>
      <c r="E17" s="177" t="s">
        <v>79</v>
      </c>
      <c r="F17" s="197">
        <v>0.3</v>
      </c>
      <c r="G17" s="1243" t="s">
        <v>93</v>
      </c>
      <c r="H17" s="1243">
        <v>3</v>
      </c>
      <c r="I17" s="186">
        <f>D17*F17*H17</f>
        <v>0.09</v>
      </c>
      <c r="J17" s="219"/>
      <c r="K17" s="219"/>
      <c r="L17" s="219"/>
      <c r="M17" s="219"/>
      <c r="N17" s="219"/>
      <c r="O17" s="214"/>
    </row>
    <row r="18" spans="1:15" ht="14.45" x14ac:dyDescent="0.3">
      <c r="A18" s="1005"/>
      <c r="B18" s="1002"/>
      <c r="C18" s="1002"/>
      <c r="D18" s="1002"/>
      <c r="E18" s="1002"/>
      <c r="F18" s="1002"/>
      <c r="G18" s="1002"/>
      <c r="H18" s="1004" t="s">
        <v>20</v>
      </c>
      <c r="I18" s="1003">
        <f>SUM(I14:I17)</f>
        <v>0.99375000000000002</v>
      </c>
      <c r="J18" s="1002"/>
      <c r="K18" s="1002"/>
      <c r="L18" s="1002"/>
      <c r="M18" s="1002"/>
      <c r="N18" s="1002"/>
      <c r="O18" s="128"/>
    </row>
    <row r="19" spans="1:15" ht="14.45" x14ac:dyDescent="0.3">
      <c r="A19" s="1028"/>
      <c r="B19" s="219"/>
      <c r="C19" s="219"/>
      <c r="D19" s="219"/>
      <c r="E19" s="219"/>
      <c r="F19" s="219"/>
      <c r="G19" s="219"/>
      <c r="H19" s="219"/>
      <c r="I19" s="220"/>
      <c r="J19" s="219"/>
      <c r="K19" s="219"/>
      <c r="L19" s="219"/>
      <c r="M19" s="219"/>
      <c r="N19" s="219"/>
      <c r="O19" s="214"/>
    </row>
    <row r="20" spans="1:15" thickBot="1" x14ac:dyDescent="0.35">
      <c r="A20" s="1027"/>
      <c r="B20" s="1026"/>
      <c r="C20" s="1026"/>
      <c r="D20" s="1026"/>
      <c r="E20" s="1026"/>
      <c r="F20" s="1026"/>
      <c r="G20" s="1026"/>
      <c r="H20" s="1026"/>
      <c r="I20" s="1026"/>
      <c r="J20" s="1026"/>
      <c r="K20" s="1026"/>
      <c r="L20" s="1026"/>
      <c r="M20" s="1026"/>
      <c r="N20" s="1026"/>
      <c r="O20" s="1025"/>
    </row>
  </sheetData>
  <hyperlinks>
    <hyperlink ref="E3" location="dSU_09002" display="Drawing"/>
    <hyperlink ref="B4" location="SU_A0900" display="SU_A0900"/>
    <hyperlink ref="F2" location="SU_A0900_BOM" display="Back to BOM"/>
  </hyperlinks>
  <pageMargins left="0.31496062992125984" right="0.31496062992125984" top="0.31496062992125984" bottom="0.39370078740157483" header="0.51181102362204722" footer="0.31496062992125984"/>
  <pageSetup paperSize="9" scale="56" fitToHeight="99" orientation="landscape" horizontalDpi="1200" verticalDpi="1200"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40"/>
  <sheetViews>
    <sheetView zoomScale="70" zoomScaleNormal="7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 customWidth="1"/>
    <col min="2" max="2" width="34.85546875" style="103" customWidth="1"/>
    <col min="3" max="3" width="17.42578125" style="103" customWidth="1"/>
    <col min="4" max="4" width="11.5703125" style="103"/>
    <col min="5" max="5" width="10" style="103" customWidth="1"/>
    <col min="6" max="6" width="11.5703125" style="103"/>
    <col min="7" max="7" width="28.85546875" style="103" customWidth="1"/>
    <col min="8" max="8" width="11.5703125" style="103"/>
    <col min="9" max="9" width="27.42578125" style="103" customWidth="1"/>
    <col min="10" max="11" width="11.5703125" style="103"/>
    <col min="12" max="12" width="7.7109375" style="103" customWidth="1"/>
    <col min="13" max="13" width="11.5703125" style="103"/>
    <col min="14" max="14" width="10.5703125" style="103" customWidth="1"/>
    <col min="15" max="15" width="6.42578125" style="103" customWidth="1"/>
    <col min="16" max="16384" width="11.5703125" style="103"/>
  </cols>
  <sheetData>
    <row r="1" spans="1:16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6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N12+I17</f>
        <v>0.23905539548753352</v>
      </c>
      <c r="O2" s="107"/>
    </row>
    <row r="3" spans="1:16" ht="14.45" x14ac:dyDescent="0.3">
      <c r="A3" s="377" t="s">
        <v>5</v>
      </c>
      <c r="B3" s="104" t="str">
        <f>'SU A0900'!B3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2</v>
      </c>
      <c r="O3" s="107"/>
    </row>
    <row r="4" spans="1:16" ht="14.45" x14ac:dyDescent="0.3">
      <c r="A4" s="377" t="s">
        <v>7</v>
      </c>
      <c r="B4" s="58" t="str">
        <f>'SU A0900'!B4</f>
        <v xml:space="preserve">Rear Tie rod  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6" ht="14.45" x14ac:dyDescent="0.3">
      <c r="A5" s="377" t="s">
        <v>17</v>
      </c>
      <c r="B5" s="109" t="s">
        <v>248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0.47811079097506703</v>
      </c>
      <c r="O5" s="107"/>
    </row>
    <row r="6" spans="1:16" ht="14.45" x14ac:dyDescent="0.3">
      <c r="A6" s="377" t="s">
        <v>9</v>
      </c>
      <c r="B6" s="103" t="s">
        <v>436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6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6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6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6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6" ht="14.45" x14ac:dyDescent="0.3">
      <c r="A11" s="374">
        <v>10</v>
      </c>
      <c r="B11" s="855" t="s">
        <v>110</v>
      </c>
      <c r="C11" s="373" t="s">
        <v>435</v>
      </c>
      <c r="D11" s="167">
        <v>2.25</v>
      </c>
      <c r="E11" s="1060">
        <f>L11*J11*K11</f>
        <v>2.5253378386616194E-2</v>
      </c>
      <c r="F11" s="373" t="s">
        <v>43</v>
      </c>
      <c r="G11" s="373"/>
      <c r="H11" s="168"/>
      <c r="I11" s="1059" t="s">
        <v>434</v>
      </c>
      <c r="J11" s="174">
        <f>PI()*16*16/1000000</f>
        <v>8.0424771931898709E-4</v>
      </c>
      <c r="K11" s="174">
        <v>4.0000000000000001E-3</v>
      </c>
      <c r="L11" s="852">
        <v>7850</v>
      </c>
      <c r="M11" s="175">
        <v>1</v>
      </c>
      <c r="N11" s="167">
        <f>IF(J11="",D11*M11,D11*J11*K11*L11*M11)</f>
        <v>5.6820101369886439E-2</v>
      </c>
      <c r="O11" s="112"/>
      <c r="P11" s="113"/>
    </row>
    <row r="12" spans="1:16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5.6820101369886439E-2</v>
      </c>
      <c r="O12" s="107"/>
    </row>
    <row r="13" spans="1:16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6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6" x14ac:dyDescent="0.25">
      <c r="A15" s="1058">
        <v>10</v>
      </c>
      <c r="B15" s="1016" t="s">
        <v>390</v>
      </c>
      <c r="C15" s="1016"/>
      <c r="D15" s="1011">
        <v>1.3</v>
      </c>
      <c r="E15" s="1016" t="s">
        <v>72</v>
      </c>
      <c r="F15" s="1016">
        <v>1</v>
      </c>
      <c r="G15" s="431" t="s">
        <v>433</v>
      </c>
      <c r="H15" s="434">
        <v>2.9411764705882353E-2</v>
      </c>
      <c r="I15" s="1011">
        <f>D15*F15*H15</f>
        <v>3.8235294117647062E-2</v>
      </c>
      <c r="J15" s="122"/>
      <c r="K15" s="122"/>
      <c r="L15" s="122"/>
      <c r="M15" s="122"/>
      <c r="N15" s="122"/>
      <c r="O15" s="123"/>
      <c r="P15" s="124"/>
    </row>
    <row r="16" spans="1:16" ht="14.45" x14ac:dyDescent="0.3">
      <c r="A16" s="1058">
        <v>20</v>
      </c>
      <c r="B16" s="1016" t="s">
        <v>80</v>
      </c>
      <c r="C16" s="1016"/>
      <c r="D16" s="1011">
        <v>0.04</v>
      </c>
      <c r="E16" s="1016" t="s">
        <v>79</v>
      </c>
      <c r="F16" s="1016">
        <v>1.2</v>
      </c>
      <c r="G16" s="1016" t="s">
        <v>93</v>
      </c>
      <c r="H16" s="1016">
        <v>3</v>
      </c>
      <c r="I16" s="1011">
        <f>D16*F16*H16</f>
        <v>0.14400000000000002</v>
      </c>
      <c r="J16" s="105"/>
      <c r="K16" s="105"/>
      <c r="L16" s="105"/>
      <c r="M16" s="105"/>
      <c r="N16" s="105"/>
      <c r="O16" s="107"/>
    </row>
    <row r="17" spans="1:16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58">
        <f>SUM(I15:I16)</f>
        <v>0.18223529411764708</v>
      </c>
      <c r="J17" s="115"/>
      <c r="K17" s="115"/>
      <c r="L17" s="115"/>
      <c r="M17" s="115"/>
      <c r="N17" s="115"/>
      <c r="O17" s="107"/>
    </row>
    <row r="18" spans="1:16" thickBot="1" x14ac:dyDescent="0.35">
      <c r="A18" s="118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119"/>
      <c r="O18" s="120"/>
    </row>
    <row r="22" spans="1:16" ht="14.45" x14ac:dyDescent="0.3">
      <c r="A22" s="131"/>
      <c r="B22" s="131"/>
      <c r="C22" s="131"/>
      <c r="D22" s="131"/>
      <c r="E22" s="131"/>
      <c r="F22" s="131"/>
      <c r="G22" s="131"/>
      <c r="H22" s="131"/>
      <c r="I22" s="131"/>
      <c r="J22" s="131"/>
      <c r="K22" s="131"/>
      <c r="L22" s="131"/>
      <c r="M22" s="131"/>
      <c r="N22" s="131"/>
      <c r="O22" s="131"/>
      <c r="P22" s="131"/>
    </row>
    <row r="23" spans="1:16" ht="14.45" x14ac:dyDescent="0.3">
      <c r="A23" s="131"/>
      <c r="B23" s="1039"/>
      <c r="C23" s="1035"/>
      <c r="D23" s="1035"/>
      <c r="E23" s="1035"/>
      <c r="F23" s="1035"/>
      <c r="G23" s="253"/>
      <c r="H23" s="1035"/>
      <c r="I23" s="1035"/>
      <c r="J23" s="1035"/>
      <c r="K23" s="1057"/>
      <c r="L23" s="1038"/>
      <c r="M23" s="1035"/>
      <c r="N23" s="1039"/>
      <c r="O23" s="1046"/>
      <c r="P23" s="131"/>
    </row>
    <row r="24" spans="1:16" ht="14.45" x14ac:dyDescent="0.3">
      <c r="A24" s="131"/>
      <c r="B24" s="1039"/>
      <c r="C24" s="1035"/>
      <c r="D24" s="1056"/>
      <c r="E24" s="253"/>
      <c r="F24" s="1035"/>
      <c r="G24" s="1035"/>
      <c r="H24" s="1035"/>
      <c r="I24" s="1035"/>
      <c r="J24" s="1035"/>
      <c r="K24" s="1035"/>
      <c r="L24" s="1035"/>
      <c r="M24" s="1035"/>
      <c r="N24" s="1039"/>
      <c r="O24" s="1055"/>
      <c r="P24" s="131"/>
    </row>
    <row r="25" spans="1:16" ht="14.45" x14ac:dyDescent="0.3">
      <c r="A25" s="131"/>
      <c r="B25" s="1039"/>
      <c r="C25" s="253"/>
      <c r="D25" s="1035"/>
      <c r="E25" s="1039"/>
      <c r="F25" s="1035"/>
      <c r="G25" s="1035"/>
      <c r="H25" s="1035"/>
      <c r="I25" s="1035"/>
      <c r="J25" s="1035"/>
      <c r="K25" s="1039"/>
      <c r="L25" s="1035"/>
      <c r="M25" s="1035"/>
      <c r="N25" s="1035"/>
      <c r="O25" s="1036"/>
      <c r="P25" s="131"/>
    </row>
    <row r="26" spans="1:16" ht="14.45" x14ac:dyDescent="0.3">
      <c r="A26" s="131"/>
      <c r="B26" s="1039"/>
      <c r="C26" s="1054"/>
      <c r="D26" s="1035"/>
      <c r="E26" s="1039"/>
      <c r="F26" s="1035"/>
      <c r="G26" s="1035"/>
      <c r="H26" s="1035"/>
      <c r="I26" s="1035"/>
      <c r="J26" s="1035"/>
      <c r="K26" s="1039"/>
      <c r="L26" s="1035"/>
      <c r="M26" s="1035"/>
      <c r="N26" s="1039"/>
      <c r="O26" s="1046"/>
      <c r="P26" s="131"/>
    </row>
    <row r="27" spans="1:16" ht="14.45" x14ac:dyDescent="0.3">
      <c r="A27" s="131"/>
      <c r="B27" s="1039"/>
      <c r="C27" s="1053"/>
      <c r="D27" s="1035"/>
      <c r="E27" s="1035"/>
      <c r="F27" s="1035"/>
      <c r="G27" s="1035"/>
      <c r="H27" s="1035"/>
      <c r="I27" s="1035"/>
      <c r="J27" s="1035"/>
      <c r="K27" s="1039"/>
      <c r="L27" s="1035"/>
      <c r="M27" s="1035"/>
      <c r="N27" s="1035"/>
      <c r="O27" s="1035"/>
      <c r="P27" s="131"/>
    </row>
    <row r="28" spans="1:16" ht="14.45" x14ac:dyDescent="0.3">
      <c r="A28" s="131"/>
      <c r="B28" s="1039"/>
      <c r="C28" s="1035"/>
      <c r="D28" s="1035"/>
      <c r="E28" s="1035"/>
      <c r="F28" s="1035"/>
      <c r="G28" s="1035"/>
      <c r="H28" s="1035"/>
      <c r="I28" s="1035"/>
      <c r="J28" s="1035"/>
      <c r="K28" s="1035"/>
      <c r="L28" s="1035"/>
      <c r="M28" s="1035"/>
      <c r="N28" s="1035"/>
      <c r="O28" s="1035"/>
      <c r="P28" s="131"/>
    </row>
    <row r="29" spans="1:16" ht="14.45" x14ac:dyDescent="0.3">
      <c r="A29" s="131"/>
      <c r="B29" s="1039"/>
      <c r="C29" s="1036"/>
      <c r="D29" s="1036"/>
      <c r="E29" s="1036"/>
      <c r="F29" s="1036"/>
      <c r="G29" s="1036"/>
      <c r="H29" s="1036"/>
      <c r="I29" s="1036"/>
      <c r="J29" s="1036"/>
      <c r="K29" s="1036"/>
      <c r="L29" s="1036"/>
      <c r="M29" s="1036"/>
      <c r="N29" s="1036"/>
      <c r="O29" s="1036"/>
      <c r="P29" s="131"/>
    </row>
    <row r="30" spans="1:16" ht="14.45" x14ac:dyDescent="0.3">
      <c r="A30" s="131"/>
      <c r="B30" s="131"/>
      <c r="C30" s="131"/>
      <c r="D30" s="131"/>
      <c r="E30" s="131"/>
      <c r="F30" s="131"/>
      <c r="G30" s="131"/>
      <c r="H30" s="131"/>
      <c r="I30" s="131"/>
      <c r="J30" s="131"/>
      <c r="K30" s="131"/>
      <c r="L30" s="131"/>
      <c r="M30" s="131"/>
      <c r="N30" s="131"/>
      <c r="O30" s="131"/>
      <c r="P30" s="131"/>
    </row>
    <row r="31" spans="1:16" ht="14.45" x14ac:dyDescent="0.3">
      <c r="A31" s="131"/>
      <c r="B31" s="1039"/>
      <c r="C31" s="1039"/>
      <c r="D31" s="1039"/>
      <c r="E31" s="1039"/>
      <c r="F31" s="1039"/>
      <c r="G31" s="1039"/>
      <c r="H31" s="1039"/>
      <c r="I31" s="1039"/>
      <c r="J31" s="1039"/>
      <c r="K31" s="1039"/>
      <c r="L31" s="1039"/>
      <c r="M31" s="1039"/>
      <c r="N31" s="1039"/>
      <c r="O31" s="1039"/>
      <c r="P31" s="131"/>
    </row>
    <row r="32" spans="1:16" ht="14.45" x14ac:dyDescent="0.3">
      <c r="A32" s="131"/>
      <c r="B32" s="1035"/>
      <c r="C32" s="1035"/>
      <c r="D32" s="1035"/>
      <c r="E32" s="1042"/>
      <c r="F32" s="1052"/>
      <c r="G32" s="1035"/>
      <c r="H32" s="1035"/>
      <c r="I32" s="1051"/>
      <c r="J32" s="1050"/>
      <c r="K32" s="1049"/>
      <c r="L32" s="1048"/>
      <c r="M32" s="1047"/>
      <c r="N32" s="1047"/>
      <c r="O32" s="1046"/>
      <c r="P32" s="131"/>
    </row>
    <row r="33" spans="1:16" ht="14.45" x14ac:dyDescent="0.3">
      <c r="A33" s="131"/>
      <c r="B33" s="1039"/>
      <c r="C33" s="1039"/>
      <c r="D33" s="1039"/>
      <c r="E33" s="1039"/>
      <c r="F33" s="1039"/>
      <c r="G33" s="1039"/>
      <c r="H33" s="1039"/>
      <c r="I33" s="1039"/>
      <c r="J33" s="1039"/>
      <c r="K33" s="1039"/>
      <c r="L33" s="1039"/>
      <c r="M33" s="1039"/>
      <c r="N33" s="1041"/>
      <c r="O33" s="1040"/>
      <c r="P33" s="131"/>
    </row>
    <row r="34" spans="1:16" x14ac:dyDescent="0.25">
      <c r="A34" s="131"/>
      <c r="B34" s="131"/>
      <c r="C34" s="131"/>
      <c r="D34" s="131"/>
      <c r="E34" s="131"/>
      <c r="F34" s="131"/>
      <c r="G34" s="131"/>
      <c r="H34" s="131"/>
      <c r="I34" s="131"/>
      <c r="J34" s="131"/>
      <c r="K34" s="131"/>
      <c r="L34" s="131"/>
      <c r="M34" s="131"/>
      <c r="N34" s="131"/>
      <c r="O34" s="131"/>
      <c r="P34" s="131"/>
    </row>
    <row r="35" spans="1:16" x14ac:dyDescent="0.25">
      <c r="A35" s="131"/>
      <c r="B35" s="1039"/>
      <c r="C35" s="1039"/>
      <c r="D35" s="1039"/>
      <c r="E35" s="1039"/>
      <c r="F35" s="1039"/>
      <c r="G35" s="1039"/>
      <c r="H35" s="1039"/>
      <c r="I35" s="1039"/>
      <c r="J35" s="1039"/>
      <c r="K35" s="1039"/>
      <c r="L35" s="1039"/>
      <c r="M35" s="1039"/>
      <c r="N35" s="1039"/>
      <c r="O35" s="1039"/>
      <c r="P35" s="131"/>
    </row>
    <row r="36" spans="1:16" x14ac:dyDescent="0.25">
      <c r="A36" s="131"/>
      <c r="B36" s="1035"/>
      <c r="C36" s="187"/>
      <c r="D36" s="1045"/>
      <c r="E36" s="1042"/>
      <c r="F36" s="1035"/>
      <c r="G36" s="1035"/>
      <c r="H36" s="1043"/>
      <c r="I36" s="1044"/>
      <c r="J36" s="1042"/>
      <c r="K36" s="1036"/>
      <c r="L36" s="1036"/>
      <c r="M36" s="1036"/>
      <c r="N36" s="1036"/>
      <c r="O36" s="1036"/>
      <c r="P36" s="131"/>
    </row>
    <row r="37" spans="1:16" x14ac:dyDescent="0.25">
      <c r="A37" s="131"/>
      <c r="B37" s="1035"/>
      <c r="C37" s="187"/>
      <c r="D37" s="1045"/>
      <c r="E37" s="1042"/>
      <c r="F37" s="1035"/>
      <c r="G37" s="1044"/>
      <c r="H37" s="1043"/>
      <c r="I37" s="1035"/>
      <c r="J37" s="1042"/>
      <c r="K37" s="1036"/>
      <c r="L37" s="1036"/>
      <c r="M37" s="1036"/>
      <c r="N37" s="1036"/>
      <c r="O37" s="1036"/>
      <c r="P37" s="131"/>
    </row>
    <row r="38" spans="1:16" x14ac:dyDescent="0.25">
      <c r="A38" s="131"/>
      <c r="B38" s="1039"/>
      <c r="C38" s="1039"/>
      <c r="D38" s="1039"/>
      <c r="E38" s="1039"/>
      <c r="F38" s="1039"/>
      <c r="G38" s="1039"/>
      <c r="H38" s="1039"/>
      <c r="I38" s="1041"/>
      <c r="J38" s="1040"/>
      <c r="K38" s="1039"/>
      <c r="L38" s="1039"/>
      <c r="M38" s="1039"/>
      <c r="N38" s="1039"/>
      <c r="O38" s="1039"/>
      <c r="P38" s="131"/>
    </row>
    <row r="39" spans="1:16" x14ac:dyDescent="0.25">
      <c r="A39" s="131"/>
      <c r="B39" s="1036"/>
      <c r="C39" s="1036"/>
      <c r="D39" s="1036"/>
      <c r="E39" s="1036"/>
      <c r="F39" s="1036"/>
      <c r="G39" s="1036"/>
      <c r="H39" s="1036"/>
      <c r="I39" s="1038"/>
      <c r="J39" s="1037"/>
      <c r="K39" s="1036"/>
      <c r="L39" s="1035"/>
      <c r="M39" s="1035"/>
      <c r="N39" s="1035"/>
      <c r="O39" s="1035"/>
      <c r="P39" s="131"/>
    </row>
    <row r="40" spans="1:16" x14ac:dyDescent="0.25">
      <c r="B40" s="1034"/>
      <c r="C40" s="1034"/>
      <c r="D40" s="1034"/>
      <c r="E40" s="1034"/>
      <c r="F40" s="1034"/>
      <c r="G40" s="1034"/>
      <c r="H40" s="1034"/>
      <c r="I40" s="1034"/>
      <c r="J40" s="1034"/>
      <c r="K40" s="1034"/>
      <c r="L40" s="1034"/>
      <c r="M40" s="1034"/>
      <c r="N40" s="1034"/>
      <c r="O40" s="1034"/>
    </row>
  </sheetData>
  <hyperlinks>
    <hyperlink ref="E3" location="dSU_09003" display="Drawing"/>
    <hyperlink ref="B4" location="SU_A0900" display="SU_A0900"/>
    <hyperlink ref="G2" location="SU_A0900_BOM" display="Back to BOM"/>
  </hyperlinks>
  <pageMargins left="0.31496062992125984" right="0.31496062992125984" top="0.31496062992125984" bottom="0.39370078740157483" header="0.51181102362204722" footer="0.31496062992125984"/>
  <pageSetup paperSize="9" scale="64" fitToHeight="99" orientation="landscape" horizontalDpi="1200" verticalDpi="1200"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437</v>
      </c>
    </row>
  </sheetData>
  <hyperlinks>
    <hyperlink ref="B1" location="SU_09003" display="SU_09003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7.28515625" style="103" customWidth="1"/>
    <col min="3" max="3" width="11.85546875" style="103" customWidth="1"/>
    <col min="4" max="6" width="11.5703125" style="103"/>
    <col min="7" max="7" width="18.7109375" style="103" customWidth="1"/>
    <col min="8" max="8" width="9.5703125" style="103" customWidth="1"/>
    <col min="9" max="9" width="12.7109375" style="103" customWidth="1"/>
    <col min="10" max="14" width="11.5703125" style="103"/>
    <col min="15" max="15" width="6.85546875" style="103" customWidth="1"/>
    <col min="16" max="16384" width="11.57031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N12+I17</f>
        <v>1.0636402027397729</v>
      </c>
      <c r="O2" s="107"/>
    </row>
    <row r="3" spans="1:15" ht="14.45" x14ac:dyDescent="0.3">
      <c r="A3" s="377" t="s">
        <v>5</v>
      </c>
      <c r="B3" s="104" t="str">
        <f>'SU A0900'!B3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2</v>
      </c>
      <c r="O3" s="107"/>
    </row>
    <row r="4" spans="1:15" ht="14.45" x14ac:dyDescent="0.3">
      <c r="A4" s="377" t="s">
        <v>7</v>
      </c>
      <c r="B4" s="58" t="str">
        <f>'SU A0900'!B4</f>
        <v xml:space="preserve">Rear Tie rod  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5" ht="14.45" x14ac:dyDescent="0.3">
      <c r="A5" s="377" t="s">
        <v>17</v>
      </c>
      <c r="B5" s="109" t="s">
        <v>218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2.1272804054795458</v>
      </c>
      <c r="O5" s="107"/>
    </row>
    <row r="6" spans="1:15" ht="14.45" x14ac:dyDescent="0.3">
      <c r="A6" s="377" t="s">
        <v>9</v>
      </c>
      <c r="B6" s="103" t="s">
        <v>438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5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5" ht="29.45" customHeight="1" x14ac:dyDescent="0.3">
      <c r="A11" s="976">
        <v>10</v>
      </c>
      <c r="B11" s="975" t="s">
        <v>110</v>
      </c>
      <c r="C11" s="839" t="s">
        <v>435</v>
      </c>
      <c r="D11" s="173">
        <v>2.25</v>
      </c>
      <c r="E11" s="1073">
        <f>L11*J11*K11</f>
        <v>5.0506756773232388E-2</v>
      </c>
      <c r="F11" s="839" t="s">
        <v>43</v>
      </c>
      <c r="G11" s="839"/>
      <c r="H11" s="267"/>
      <c r="I11" s="1072" t="s">
        <v>434</v>
      </c>
      <c r="J11" s="174">
        <f>PI()*16*16/1000000</f>
        <v>8.0424771931898709E-4</v>
      </c>
      <c r="K11" s="1071">
        <v>8.0000000000000002E-3</v>
      </c>
      <c r="L11" s="972">
        <v>7850</v>
      </c>
      <c r="M11" s="270">
        <v>1</v>
      </c>
      <c r="N11" s="173">
        <f>IF(J11="",D11*M11,D11*J11*K11*L11*M11)</f>
        <v>0.11364020273977288</v>
      </c>
      <c r="O11" s="112"/>
    </row>
    <row r="12" spans="1:15" ht="14.45" x14ac:dyDescent="0.3">
      <c r="A12" s="1063"/>
      <c r="B12" s="245"/>
      <c r="C12" s="245"/>
      <c r="D12" s="245"/>
      <c r="E12" s="245"/>
      <c r="F12" s="245"/>
      <c r="G12" s="245"/>
      <c r="H12" s="245"/>
      <c r="I12" s="245"/>
      <c r="J12" s="245"/>
      <c r="K12" s="245"/>
      <c r="L12" s="245"/>
      <c r="M12" s="1070" t="s">
        <v>20</v>
      </c>
      <c r="N12" s="1061">
        <f>SUM(N11:N11)</f>
        <v>0.11364020273977288</v>
      </c>
      <c r="O12" s="107"/>
    </row>
    <row r="13" spans="1:15" ht="14.45" x14ac:dyDescent="0.3">
      <c r="A13" s="1069"/>
      <c r="B13" s="122"/>
      <c r="C13" s="122"/>
      <c r="D13" s="122"/>
      <c r="E13" s="122"/>
      <c r="F13" s="122"/>
      <c r="G13" s="122"/>
      <c r="H13" s="122"/>
      <c r="I13" s="122"/>
      <c r="J13" s="122"/>
      <c r="K13" s="122"/>
      <c r="L13" s="122"/>
      <c r="M13" s="122"/>
      <c r="N13" s="122"/>
      <c r="O13" s="107"/>
    </row>
    <row r="14" spans="1:15" ht="14.45" x14ac:dyDescent="0.3">
      <c r="A14" s="1068" t="s">
        <v>16</v>
      </c>
      <c r="B14" s="1067" t="s">
        <v>21</v>
      </c>
      <c r="C14" s="1067" t="s">
        <v>22</v>
      </c>
      <c r="D14" s="1067" t="s">
        <v>23</v>
      </c>
      <c r="E14" s="1067" t="s">
        <v>24</v>
      </c>
      <c r="F14" s="1067" t="s">
        <v>19</v>
      </c>
      <c r="G14" s="1067" t="s">
        <v>25</v>
      </c>
      <c r="H14" s="1067" t="s">
        <v>26</v>
      </c>
      <c r="I14" s="1067" t="s">
        <v>20</v>
      </c>
      <c r="J14" s="245"/>
      <c r="K14" s="245"/>
      <c r="L14" s="245"/>
      <c r="M14" s="245"/>
      <c r="N14" s="245"/>
      <c r="O14" s="107"/>
    </row>
    <row r="15" spans="1:15" ht="28.9" x14ac:dyDescent="0.3">
      <c r="A15" s="1066">
        <v>10</v>
      </c>
      <c r="B15" s="1065" t="s">
        <v>390</v>
      </c>
      <c r="C15" s="1065"/>
      <c r="D15" s="1064">
        <v>1.3</v>
      </c>
      <c r="E15" s="1065" t="s">
        <v>72</v>
      </c>
      <c r="F15" s="1065">
        <v>1</v>
      </c>
      <c r="G15" s="1065" t="s">
        <v>160</v>
      </c>
      <c r="H15" s="1065">
        <f>1/2</f>
        <v>0.5</v>
      </c>
      <c r="I15" s="1064">
        <f>D15*F15*H15</f>
        <v>0.65</v>
      </c>
      <c r="J15" s="122"/>
      <c r="K15" s="122"/>
      <c r="L15" s="122"/>
      <c r="M15" s="122"/>
      <c r="N15" s="122"/>
      <c r="O15" s="123"/>
    </row>
    <row r="16" spans="1:15" ht="14.45" x14ac:dyDescent="0.3">
      <c r="A16" s="1066">
        <v>20</v>
      </c>
      <c r="B16" s="1065" t="s">
        <v>80</v>
      </c>
      <c r="C16" s="1065"/>
      <c r="D16" s="1064">
        <v>0.04</v>
      </c>
      <c r="E16" s="1065" t="s">
        <v>79</v>
      </c>
      <c r="F16" s="1065">
        <v>2.5</v>
      </c>
      <c r="G16" s="1065" t="s">
        <v>93</v>
      </c>
      <c r="H16" s="1065">
        <v>3</v>
      </c>
      <c r="I16" s="1064">
        <f>D16*F16*H16</f>
        <v>0.30000000000000004</v>
      </c>
      <c r="J16" s="122"/>
      <c r="K16" s="122"/>
      <c r="L16" s="122"/>
      <c r="M16" s="122"/>
      <c r="N16" s="122"/>
      <c r="O16" s="107"/>
    </row>
    <row r="17" spans="1:15" ht="14.45" x14ac:dyDescent="0.3">
      <c r="A17" s="1063"/>
      <c r="B17" s="245"/>
      <c r="C17" s="245"/>
      <c r="D17" s="245"/>
      <c r="E17" s="245"/>
      <c r="F17" s="245"/>
      <c r="G17" s="245"/>
      <c r="H17" s="1062" t="s">
        <v>20</v>
      </c>
      <c r="I17" s="1061">
        <f>SUM(I15:I16)</f>
        <v>0.95000000000000007</v>
      </c>
      <c r="J17" s="245"/>
      <c r="K17" s="245"/>
      <c r="L17" s="245"/>
      <c r="M17" s="245"/>
      <c r="N17" s="245"/>
      <c r="O17" s="107"/>
    </row>
    <row r="18" spans="1:15" thickBot="1" x14ac:dyDescent="0.35">
      <c r="A18" s="118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119"/>
      <c r="O18" s="120"/>
    </row>
  </sheetData>
  <hyperlinks>
    <hyperlink ref="E3" location="dSU_09004" display="Drawing"/>
    <hyperlink ref="B4" location="SU_A0900" display="SU_A0900"/>
    <hyperlink ref="G2" location="SU_A0900_BOM" display="Back to BOM"/>
  </hyperlinks>
  <pageMargins left="0.31496062992125984" right="0.31496062992125984" top="0.31496062992125984" bottom="0.39370078740157483" header="0.51181102362204722" footer="0.31496062992125984"/>
  <pageSetup paperSize="9" scale="79" fitToHeight="99" orientation="landscape" horizontalDpi="1200" verticalDpi="1200" r:id="rId1"/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439</v>
      </c>
    </row>
  </sheetData>
  <hyperlinks>
    <hyperlink ref="B1" location="SU_09004" display="SU_09004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8.7109375" style="103" customWidth="1"/>
    <col min="3" max="3" width="20" style="103" customWidth="1"/>
    <col min="4" max="4" width="11.5703125" style="103"/>
    <col min="5" max="5" width="9.140625" style="103" customWidth="1"/>
    <col min="6" max="6" width="11.5703125" style="103"/>
    <col min="7" max="7" width="19.7109375" style="103" customWidth="1"/>
    <col min="8" max="8" width="11.5703125" style="103"/>
    <col min="9" max="9" width="12.7109375" style="103" customWidth="1"/>
    <col min="10" max="10" width="11.5703125" style="103"/>
    <col min="11" max="11" width="8.7109375" style="103" customWidth="1"/>
    <col min="12" max="13" width="11.5703125" style="103"/>
    <col min="14" max="14" width="9.42578125" style="103" customWidth="1"/>
    <col min="15" max="16384" width="11.5703125" style="103"/>
  </cols>
  <sheetData>
    <row r="1" spans="1:15" ht="14.45" x14ac:dyDescent="0.3">
      <c r="A1" s="75"/>
      <c r="B1" s="76"/>
      <c r="C1" s="76"/>
      <c r="D1" s="76"/>
      <c r="E1" s="76"/>
      <c r="F1" s="76"/>
      <c r="G1" s="76"/>
      <c r="H1" s="76"/>
      <c r="I1" s="76"/>
      <c r="J1" s="76"/>
      <c r="K1" s="76"/>
      <c r="L1" s="76"/>
      <c r="M1" s="76"/>
      <c r="N1" s="76"/>
      <c r="O1" s="77"/>
    </row>
    <row r="2" spans="1:15" ht="14.45" x14ac:dyDescent="0.3">
      <c r="A2" s="420" t="s">
        <v>0</v>
      </c>
      <c r="B2" s="79" t="s">
        <v>1</v>
      </c>
      <c r="C2" s="80"/>
      <c r="D2" s="80"/>
      <c r="E2" s="80"/>
      <c r="F2" s="80"/>
      <c r="G2" s="81" t="s">
        <v>2</v>
      </c>
      <c r="H2" s="80"/>
      <c r="I2" s="80"/>
      <c r="J2" s="425" t="s">
        <v>3</v>
      </c>
      <c r="K2" s="82">
        <v>81</v>
      </c>
      <c r="L2" s="80"/>
      <c r="M2" s="420" t="s">
        <v>18</v>
      </c>
      <c r="N2" s="87">
        <f>N12+I17</f>
        <v>0.32421353411764708</v>
      </c>
      <c r="O2" s="84"/>
    </row>
    <row r="3" spans="1:15" ht="14.45" x14ac:dyDescent="0.3">
      <c r="A3" s="420" t="s">
        <v>5</v>
      </c>
      <c r="B3" s="79" t="str">
        <f>'SU A0100'!B3</f>
        <v>Suspension &amp; Shocks</v>
      </c>
      <c r="C3" s="80"/>
      <c r="D3" s="420" t="s">
        <v>8</v>
      </c>
      <c r="E3" s="433" t="s">
        <v>84</v>
      </c>
      <c r="F3" s="80"/>
      <c r="G3" s="80"/>
      <c r="H3" s="80"/>
      <c r="I3" s="80"/>
      <c r="J3" s="80"/>
      <c r="K3" s="80"/>
      <c r="L3" s="80"/>
      <c r="M3" s="420" t="s">
        <v>6</v>
      </c>
      <c r="N3" s="85">
        <v>4</v>
      </c>
      <c r="O3" s="84"/>
    </row>
    <row r="4" spans="1:15" ht="14.45" x14ac:dyDescent="0.3">
      <c r="A4" s="420" t="s">
        <v>7</v>
      </c>
      <c r="B4" s="81" t="str">
        <f>'SU A0100'!B4</f>
        <v>Upper Front A-arm</v>
      </c>
      <c r="C4" s="80"/>
      <c r="D4" s="420" t="s">
        <v>10</v>
      </c>
      <c r="E4" s="80"/>
      <c r="F4" s="80"/>
      <c r="G4" s="80"/>
      <c r="H4" s="80"/>
      <c r="I4" s="80"/>
      <c r="J4" s="421" t="s">
        <v>8</v>
      </c>
      <c r="K4" s="80"/>
      <c r="L4" s="80"/>
      <c r="M4" s="80"/>
      <c r="N4" s="80"/>
      <c r="O4" s="84"/>
    </row>
    <row r="5" spans="1:15" ht="14.45" x14ac:dyDescent="0.3">
      <c r="A5" s="420" t="s">
        <v>17</v>
      </c>
      <c r="B5" s="86" t="s">
        <v>218</v>
      </c>
      <c r="C5" s="80"/>
      <c r="D5" s="420" t="s">
        <v>14</v>
      </c>
      <c r="E5" s="80"/>
      <c r="F5" s="80"/>
      <c r="G5" s="80"/>
      <c r="H5" s="80"/>
      <c r="I5" s="80"/>
      <c r="J5" s="421" t="s">
        <v>10</v>
      </c>
      <c r="K5" s="80"/>
      <c r="L5" s="80"/>
      <c r="M5" s="420" t="s">
        <v>11</v>
      </c>
      <c r="N5" s="87">
        <f>N3*N2</f>
        <v>1.2968541364705883</v>
      </c>
      <c r="O5" s="84"/>
    </row>
    <row r="6" spans="1:15" ht="14.45" x14ac:dyDescent="0.3">
      <c r="A6" s="420" t="s">
        <v>9</v>
      </c>
      <c r="B6" s="422" t="s">
        <v>250</v>
      </c>
      <c r="C6" s="80"/>
      <c r="D6" s="80"/>
      <c r="E6" s="80"/>
      <c r="F6" s="80"/>
      <c r="G6" s="80"/>
      <c r="H6" s="80"/>
      <c r="I6" s="80"/>
      <c r="J6" s="421" t="s">
        <v>14</v>
      </c>
      <c r="K6" s="80"/>
      <c r="L6" s="80"/>
      <c r="M6" s="80"/>
      <c r="N6" s="80"/>
      <c r="O6" s="84"/>
    </row>
    <row r="7" spans="1:15" ht="14.45" x14ac:dyDescent="0.3">
      <c r="A7" s="420" t="s">
        <v>12</v>
      </c>
      <c r="B7" s="79" t="s">
        <v>13</v>
      </c>
      <c r="C7" s="80"/>
      <c r="D7" s="80"/>
      <c r="E7" s="80"/>
      <c r="F7" s="80"/>
      <c r="G7" s="80"/>
      <c r="H7" s="80"/>
      <c r="I7" s="80"/>
      <c r="J7" s="80"/>
      <c r="K7" s="80"/>
      <c r="L7" s="80"/>
      <c r="M7" s="80"/>
      <c r="N7" s="80"/>
      <c r="O7" s="84"/>
    </row>
    <row r="8" spans="1:15" ht="14.45" x14ac:dyDescent="0.3">
      <c r="A8" s="420" t="s">
        <v>15</v>
      </c>
      <c r="B8" s="79"/>
      <c r="C8" s="80"/>
      <c r="D8" s="80"/>
      <c r="E8" s="80"/>
      <c r="F8" s="80"/>
      <c r="G8" s="80"/>
      <c r="H8" s="80"/>
      <c r="I8" s="80"/>
      <c r="J8" s="80"/>
      <c r="K8" s="80"/>
      <c r="L8" s="80"/>
      <c r="M8" s="80"/>
      <c r="N8" s="80"/>
      <c r="O8" s="84"/>
    </row>
    <row r="9" spans="1:15" ht="14.45" x14ac:dyDescent="0.3">
      <c r="A9" s="419"/>
      <c r="B9" s="418"/>
      <c r="C9" s="418"/>
      <c r="D9" s="418"/>
      <c r="E9" s="418"/>
      <c r="F9" s="80"/>
      <c r="G9" s="80"/>
      <c r="H9" s="80"/>
      <c r="I9" s="80"/>
      <c r="J9" s="80"/>
      <c r="K9" s="80"/>
      <c r="L9" s="80"/>
      <c r="M9" s="80"/>
      <c r="N9" s="80"/>
      <c r="O9" s="84"/>
    </row>
    <row r="10" spans="1:15" ht="14.45" x14ac:dyDescent="0.3">
      <c r="A10" s="417" t="s">
        <v>16</v>
      </c>
      <c r="B10" s="416" t="s">
        <v>38</v>
      </c>
      <c r="C10" s="416" t="s">
        <v>22</v>
      </c>
      <c r="D10" s="416" t="s">
        <v>23</v>
      </c>
      <c r="E10" s="416" t="s">
        <v>31</v>
      </c>
      <c r="F10" s="404" t="s">
        <v>32</v>
      </c>
      <c r="G10" s="404" t="s">
        <v>33</v>
      </c>
      <c r="H10" s="404" t="s">
        <v>34</v>
      </c>
      <c r="I10" s="404" t="s">
        <v>39</v>
      </c>
      <c r="J10" s="404" t="s">
        <v>40</v>
      </c>
      <c r="K10" s="404" t="s">
        <v>41</v>
      </c>
      <c r="L10" s="404" t="s">
        <v>42</v>
      </c>
      <c r="M10" s="404" t="s">
        <v>19</v>
      </c>
      <c r="N10" s="404" t="s">
        <v>20</v>
      </c>
      <c r="O10" s="84"/>
    </row>
    <row r="11" spans="1:15" ht="14.45" x14ac:dyDescent="0.3">
      <c r="A11" s="196">
        <v>10</v>
      </c>
      <c r="B11" s="215" t="s">
        <v>112</v>
      </c>
      <c r="C11" s="221"/>
      <c r="D11" s="178">
        <v>2.25</v>
      </c>
      <c r="E11" s="410">
        <f>J11*K11*L11</f>
        <v>6.3101440000000009E-2</v>
      </c>
      <c r="F11" s="411" t="s">
        <v>153</v>
      </c>
      <c r="G11" s="411"/>
      <c r="H11" s="222"/>
      <c r="I11" s="410" t="s">
        <v>154</v>
      </c>
      <c r="J11" s="223">
        <f>3.14*8*8/1000000</f>
        <v>2.0096E-4</v>
      </c>
      <c r="K11" s="224">
        <v>0.04</v>
      </c>
      <c r="L11" s="408">
        <v>7850</v>
      </c>
      <c r="M11" s="225">
        <v>1</v>
      </c>
      <c r="N11" s="226">
        <f>D11*E11*M11</f>
        <v>0.14197824000000003</v>
      </c>
      <c r="O11" s="407"/>
    </row>
    <row r="12" spans="1:15" ht="14.45" x14ac:dyDescent="0.3">
      <c r="A12" s="93"/>
      <c r="B12" s="94"/>
      <c r="C12" s="94"/>
      <c r="D12" s="94"/>
      <c r="E12" s="94"/>
      <c r="F12" s="94"/>
      <c r="G12" s="94"/>
      <c r="H12" s="94"/>
      <c r="I12" s="94"/>
      <c r="J12" s="94"/>
      <c r="K12" s="94"/>
      <c r="L12" s="94"/>
      <c r="M12" s="406" t="s">
        <v>20</v>
      </c>
      <c r="N12" s="398">
        <f>SUM(N11:N11)</f>
        <v>0.14197824000000003</v>
      </c>
      <c r="O12" s="84"/>
    </row>
    <row r="13" spans="1:15" ht="14.45" x14ac:dyDescent="0.3">
      <c r="A13" s="88"/>
      <c r="B13" s="80"/>
      <c r="C13" s="80"/>
      <c r="D13" s="80"/>
      <c r="E13" s="80"/>
      <c r="F13" s="80"/>
      <c r="G13" s="80"/>
      <c r="H13" s="80"/>
      <c r="I13" s="80"/>
      <c r="J13" s="80"/>
      <c r="K13" s="80"/>
      <c r="L13" s="80"/>
      <c r="M13" s="80"/>
      <c r="N13" s="80"/>
      <c r="O13" s="84"/>
    </row>
    <row r="14" spans="1:15" ht="14.45" x14ac:dyDescent="0.3">
      <c r="A14" s="405" t="s">
        <v>16</v>
      </c>
      <c r="B14" s="404" t="s">
        <v>21</v>
      </c>
      <c r="C14" s="404" t="s">
        <v>22</v>
      </c>
      <c r="D14" s="404" t="s">
        <v>23</v>
      </c>
      <c r="E14" s="404" t="s">
        <v>24</v>
      </c>
      <c r="F14" s="404" t="s">
        <v>19</v>
      </c>
      <c r="G14" s="404" t="s">
        <v>25</v>
      </c>
      <c r="H14" s="404" t="s">
        <v>26</v>
      </c>
      <c r="I14" s="404" t="s">
        <v>20</v>
      </c>
      <c r="J14" s="94"/>
      <c r="K14" s="94"/>
      <c r="L14" s="94"/>
      <c r="M14" s="94"/>
      <c r="N14" s="94"/>
      <c r="O14" s="84"/>
    </row>
    <row r="15" spans="1:15" ht="41.45" customHeight="1" x14ac:dyDescent="0.25">
      <c r="A15" s="227">
        <v>10</v>
      </c>
      <c r="B15" s="227" t="s">
        <v>81</v>
      </c>
      <c r="C15" s="227" t="s">
        <v>103</v>
      </c>
      <c r="D15" s="402">
        <v>1.3</v>
      </c>
      <c r="E15" s="227" t="s">
        <v>24</v>
      </c>
      <c r="F15" s="323">
        <v>1</v>
      </c>
      <c r="G15" s="431" t="s">
        <v>249</v>
      </c>
      <c r="H15" s="434">
        <v>2.9411764705882353E-2</v>
      </c>
      <c r="I15" s="230">
        <f>IF(H15="",D15*F15,D15*F15*H15)</f>
        <v>3.8235294117647062E-2</v>
      </c>
      <c r="J15" s="400"/>
      <c r="K15" s="400"/>
      <c r="L15" s="400"/>
      <c r="M15" s="400"/>
      <c r="N15" s="400"/>
      <c r="O15" s="95"/>
    </row>
    <row r="16" spans="1:15" ht="14.45" x14ac:dyDescent="0.3">
      <c r="A16" s="429">
        <v>20</v>
      </c>
      <c r="B16" s="429" t="s">
        <v>80</v>
      </c>
      <c r="C16" s="429" t="s">
        <v>126</v>
      </c>
      <c r="D16" s="430">
        <v>0.04</v>
      </c>
      <c r="E16" s="429" t="s">
        <v>79</v>
      </c>
      <c r="F16" s="429">
        <v>1.2</v>
      </c>
      <c r="G16" s="429" t="s">
        <v>95</v>
      </c>
      <c r="H16" s="429">
        <v>3</v>
      </c>
      <c r="I16" s="230">
        <f>IF(H16="",D16*F16,D16*F16*H16)</f>
        <v>0.14400000000000002</v>
      </c>
      <c r="J16" s="80"/>
      <c r="K16" s="80"/>
      <c r="L16" s="80"/>
      <c r="M16" s="80"/>
      <c r="N16" s="80"/>
      <c r="O16" s="84"/>
    </row>
    <row r="17" spans="1:15" ht="14.45" x14ac:dyDescent="0.3">
      <c r="A17" s="93"/>
      <c r="B17" s="94"/>
      <c r="C17" s="94"/>
      <c r="D17" s="94"/>
      <c r="E17" s="94"/>
      <c r="F17" s="94"/>
      <c r="G17" s="94"/>
      <c r="H17" s="399" t="s">
        <v>20</v>
      </c>
      <c r="I17" s="398">
        <f>SUM(I15:I16)</f>
        <v>0.18223529411764708</v>
      </c>
      <c r="J17" s="94"/>
      <c r="K17" s="94"/>
      <c r="L17" s="94"/>
      <c r="M17" s="94"/>
      <c r="N17" s="94"/>
      <c r="O17" s="84"/>
    </row>
    <row r="18" spans="1:15" thickBot="1" x14ac:dyDescent="0.35">
      <c r="A18" s="97"/>
      <c r="B18" s="98"/>
      <c r="C18" s="98"/>
      <c r="D18" s="98"/>
      <c r="E18" s="98"/>
      <c r="F18" s="98"/>
      <c r="G18" s="98"/>
      <c r="H18" s="98"/>
      <c r="I18" s="98"/>
      <c r="J18" s="98"/>
      <c r="K18" s="98"/>
      <c r="L18" s="98"/>
      <c r="M18" s="98"/>
      <c r="N18" s="98"/>
      <c r="O18" s="99"/>
    </row>
  </sheetData>
  <hyperlinks>
    <hyperlink ref="B4" location="'SU A0100'!A1" display="'SU A0100'!A1"/>
    <hyperlink ref="E3" location="dSU_01006" display="Drawing"/>
    <hyperlink ref="G2" location="SU_A0100_BOM" display="Back to BOM"/>
  </hyperlinks>
  <pageMargins left="0.31496062992125984" right="0.31496062992125984" top="0.31496062992125984" bottom="0.39370078740157483" header="0.51181102362204722" footer="0.31496062992125984"/>
  <pageSetup paperSize="9" scale="74" fitToHeight="99" orientation="landscape" horizontalDpi="1200" verticalDpi="1200"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44"/>
  <sheetViews>
    <sheetView zoomScaleNormal="100" zoomScaleSheetLayoutView="8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27.5703125" style="103" customWidth="1"/>
    <col min="3" max="3" width="68.7109375" style="103" customWidth="1"/>
    <col min="4" max="14" width="9.140625" style="103"/>
    <col min="15" max="15" width="5.28515625" style="103" customWidth="1"/>
    <col min="16" max="16384" width="9.1406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7"/>
      <c r="N1" s="126"/>
      <c r="O1" s="105"/>
    </row>
    <row r="2" spans="1:15" ht="14.45" x14ac:dyDescent="0.3">
      <c r="A2" s="1078" t="s">
        <v>0</v>
      </c>
      <c r="B2" s="104" t="s">
        <v>1</v>
      </c>
      <c r="C2" s="105"/>
      <c r="D2" s="105"/>
      <c r="E2" s="58" t="s">
        <v>2</v>
      </c>
      <c r="F2" s="105"/>
      <c r="G2" s="105"/>
      <c r="H2" s="1077" t="s">
        <v>3</v>
      </c>
      <c r="I2" s="106">
        <v>81</v>
      </c>
      <c r="J2" s="105"/>
      <c r="K2" s="1077" t="s">
        <v>4</v>
      </c>
      <c r="L2" s="59">
        <f>SU_A1000_pa+SU_A1000_p+SU_A1000_f</f>
        <v>151.09031995285827</v>
      </c>
      <c r="M2" s="128"/>
      <c r="O2" s="105"/>
    </row>
    <row r="3" spans="1:15" ht="14.45" x14ac:dyDescent="0.3">
      <c r="A3" s="1078" t="s">
        <v>5</v>
      </c>
      <c r="B3" s="104" t="s">
        <v>107</v>
      </c>
      <c r="C3" s="105"/>
      <c r="D3" s="105"/>
      <c r="E3" s="105"/>
      <c r="F3" s="105"/>
      <c r="G3" s="105"/>
      <c r="H3" s="105"/>
      <c r="I3" s="105"/>
      <c r="J3" s="105"/>
      <c r="K3" s="1077" t="s">
        <v>6</v>
      </c>
      <c r="L3" s="47">
        <v>2</v>
      </c>
      <c r="M3" s="128"/>
      <c r="O3" s="105"/>
    </row>
    <row r="4" spans="1:15" ht="14.45" x14ac:dyDescent="0.3">
      <c r="A4" s="1078" t="s">
        <v>7</v>
      </c>
      <c r="B4" s="129" t="s">
        <v>459</v>
      </c>
      <c r="C4" s="105"/>
      <c r="D4" s="105"/>
      <c r="E4" s="105"/>
      <c r="F4" s="105"/>
      <c r="G4" s="105"/>
      <c r="H4" s="1090" t="s">
        <v>8</v>
      </c>
      <c r="I4" s="105"/>
      <c r="J4" s="105"/>
      <c r="K4" s="105"/>
      <c r="L4" s="105"/>
      <c r="M4" s="128"/>
      <c r="O4" s="105"/>
    </row>
    <row r="5" spans="1:15" ht="14.45" x14ac:dyDescent="0.3">
      <c r="A5" s="1078" t="s">
        <v>9</v>
      </c>
      <c r="B5" s="108" t="s">
        <v>458</v>
      </c>
      <c r="C5" s="105"/>
      <c r="D5" s="105"/>
      <c r="E5" s="105"/>
      <c r="F5" s="105"/>
      <c r="G5" s="105"/>
      <c r="H5" s="1090" t="s">
        <v>10</v>
      </c>
      <c r="I5" s="105"/>
      <c r="J5" s="105"/>
      <c r="K5" s="1077" t="s">
        <v>11</v>
      </c>
      <c r="L5" s="46">
        <f>L2*L3</f>
        <v>302.18063990571653</v>
      </c>
      <c r="M5" s="128"/>
      <c r="O5" s="105"/>
    </row>
    <row r="6" spans="1:15" ht="14.45" x14ac:dyDescent="0.3">
      <c r="A6" s="1078" t="s">
        <v>12</v>
      </c>
      <c r="B6" s="104" t="s">
        <v>13</v>
      </c>
      <c r="C6" s="105"/>
      <c r="D6" s="105"/>
      <c r="E6" s="105"/>
      <c r="F6" s="105"/>
      <c r="G6" s="105"/>
      <c r="H6" s="1090" t="s">
        <v>14</v>
      </c>
      <c r="I6" s="105"/>
      <c r="J6" s="105"/>
      <c r="K6" s="105"/>
      <c r="L6" s="105"/>
      <c r="M6" s="128"/>
      <c r="O6" s="105"/>
    </row>
    <row r="7" spans="1:15" ht="14.45" x14ac:dyDescent="0.3">
      <c r="A7" s="1078" t="s">
        <v>15</v>
      </c>
      <c r="B7" s="104" t="s">
        <v>457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28"/>
      <c r="N7" s="105"/>
      <c r="O7" s="105"/>
    </row>
    <row r="8" spans="1:15" ht="14.45" x14ac:dyDescent="0.3">
      <c r="A8" s="130"/>
      <c r="B8" s="105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28"/>
      <c r="N8" s="105"/>
      <c r="O8" s="105"/>
    </row>
    <row r="9" spans="1:15" ht="14.45" x14ac:dyDescent="0.3">
      <c r="A9" s="1078" t="s">
        <v>16</v>
      </c>
      <c r="B9" s="1077" t="s">
        <v>17</v>
      </c>
      <c r="C9" s="1077" t="s">
        <v>18</v>
      </c>
      <c r="D9" s="1077" t="s">
        <v>19</v>
      </c>
      <c r="E9" s="1077" t="s">
        <v>20</v>
      </c>
      <c r="F9" s="105"/>
      <c r="G9" s="105"/>
      <c r="H9" s="105"/>
      <c r="I9" s="105"/>
      <c r="J9" s="105"/>
      <c r="K9" s="105"/>
      <c r="L9" s="105"/>
      <c r="M9" s="128"/>
      <c r="N9" s="105"/>
      <c r="O9" s="105"/>
    </row>
    <row r="10" spans="1:15" ht="14.45" x14ac:dyDescent="0.3">
      <c r="A10" s="133">
        <v>10</v>
      </c>
      <c r="B10" s="57" t="str">
        <f>'SU 10001'!B5</f>
        <v>Front Upright</v>
      </c>
      <c r="C10" s="46">
        <f>'SU 10001'!N2</f>
        <v>106.18580800000001</v>
      </c>
      <c r="D10" s="246">
        <f>'SU 10001'!N3</f>
        <v>1</v>
      </c>
      <c r="E10" s="46">
        <f>C10*D10</f>
        <v>106.18580800000001</v>
      </c>
      <c r="F10" s="105"/>
      <c r="G10" s="105"/>
      <c r="H10" s="105"/>
      <c r="I10" s="105"/>
      <c r="J10" s="105"/>
      <c r="K10" s="105"/>
      <c r="L10" s="105"/>
      <c r="M10" s="128"/>
      <c r="N10" s="105"/>
      <c r="O10" s="105"/>
    </row>
    <row r="11" spans="1:15" ht="14.45" x14ac:dyDescent="0.3">
      <c r="A11" s="133">
        <v>20</v>
      </c>
      <c r="B11" s="70" t="s">
        <v>456</v>
      </c>
      <c r="C11" s="46">
        <f>'SU 10002'!N2</f>
        <v>2.5052785600000003</v>
      </c>
      <c r="D11" s="246">
        <f>'SU 10002'!N3</f>
        <v>1</v>
      </c>
      <c r="E11" s="46">
        <f>C11*D11</f>
        <v>2.5052785600000003</v>
      </c>
      <c r="F11" s="129"/>
      <c r="G11" s="129"/>
      <c r="H11" s="129"/>
      <c r="I11" s="129"/>
      <c r="J11" s="129"/>
      <c r="K11" s="129"/>
      <c r="L11" s="129"/>
      <c r="M11" s="259"/>
      <c r="N11" s="129"/>
      <c r="O11" s="105"/>
    </row>
    <row r="12" spans="1:15" ht="14.45" x14ac:dyDescent="0.3">
      <c r="A12" s="133">
        <v>30</v>
      </c>
      <c r="B12" s="58" t="s">
        <v>455</v>
      </c>
      <c r="C12" s="46">
        <f>'SU 10003'!N2</f>
        <v>18.677843750000001</v>
      </c>
      <c r="D12" s="246">
        <f>'SU 10003'!N3</f>
        <v>1</v>
      </c>
      <c r="E12" s="46">
        <f>C12*D12</f>
        <v>18.677843750000001</v>
      </c>
      <c r="F12" s="129"/>
      <c r="G12" s="129"/>
      <c r="H12" s="129"/>
      <c r="I12" s="129"/>
      <c r="J12" s="129"/>
      <c r="K12" s="129"/>
      <c r="L12" s="129"/>
      <c r="M12" s="259"/>
      <c r="N12" s="129"/>
      <c r="O12" s="1089"/>
    </row>
    <row r="13" spans="1:15" s="149" customFormat="1" ht="14.45" x14ac:dyDescent="0.3">
      <c r="A13" s="133">
        <v>40</v>
      </c>
      <c r="B13" s="57" t="s">
        <v>454</v>
      </c>
      <c r="C13" s="46">
        <f>'SU 10004'!N2</f>
        <v>0.83572750000000007</v>
      </c>
      <c r="D13" s="246">
        <f>'SU 10004'!N3</f>
        <v>1</v>
      </c>
      <c r="E13" s="46">
        <f>C13*D13</f>
        <v>0.83572750000000007</v>
      </c>
      <c r="F13" s="129"/>
      <c r="G13" s="129"/>
      <c r="H13" s="129"/>
      <c r="I13" s="129"/>
      <c r="J13" s="129"/>
      <c r="K13" s="129"/>
      <c r="L13" s="129"/>
      <c r="M13" s="259"/>
      <c r="N13" s="129"/>
      <c r="O13" s="1089"/>
    </row>
    <row r="14" spans="1:15" s="149" customFormat="1" ht="14.45" x14ac:dyDescent="0.3">
      <c r="A14" s="133">
        <v>50</v>
      </c>
      <c r="B14" s="57" t="s">
        <v>453</v>
      </c>
      <c r="C14" s="46">
        <f>'SU 10005'!N2</f>
        <v>0.42691833333333334</v>
      </c>
      <c r="D14" s="246">
        <f>'SU 10005'!N3</f>
        <v>15</v>
      </c>
      <c r="E14" s="46">
        <f>C14*D14</f>
        <v>6.4037750000000004</v>
      </c>
      <c r="F14" s="129"/>
      <c r="G14" s="129"/>
      <c r="H14" s="129"/>
      <c r="I14" s="129"/>
      <c r="J14" s="129"/>
      <c r="K14" s="129"/>
      <c r="L14" s="129"/>
      <c r="M14" s="259"/>
      <c r="N14" s="129"/>
      <c r="O14" s="129"/>
    </row>
    <row r="15" spans="1:15" ht="14.45" x14ac:dyDescent="0.3">
      <c r="A15" s="130"/>
      <c r="B15" s="105"/>
      <c r="C15" s="105"/>
      <c r="D15" s="319" t="s">
        <v>20</v>
      </c>
      <c r="E15" s="1074">
        <f>SUM(E10:E14)</f>
        <v>134.60843280999998</v>
      </c>
      <c r="F15" s="129"/>
      <c r="G15" s="129"/>
      <c r="H15" s="129"/>
      <c r="I15" s="129"/>
      <c r="J15" s="129"/>
      <c r="K15" s="129"/>
      <c r="L15" s="129"/>
      <c r="M15" s="259"/>
      <c r="N15" s="129"/>
      <c r="O15" s="105"/>
    </row>
    <row r="16" spans="1:15" ht="14.45" x14ac:dyDescent="0.3">
      <c r="A16" s="130"/>
      <c r="B16" s="105"/>
      <c r="C16" s="105"/>
      <c r="D16" s="105"/>
      <c r="E16" s="105"/>
      <c r="F16" s="105"/>
      <c r="G16" s="105"/>
      <c r="H16" s="105"/>
      <c r="I16" s="105"/>
      <c r="J16" s="105"/>
      <c r="K16" s="105"/>
      <c r="L16" s="105"/>
      <c r="M16" s="128"/>
      <c r="N16" s="105"/>
      <c r="O16" s="105"/>
    </row>
    <row r="17" spans="1:19" ht="14.45" x14ac:dyDescent="0.3">
      <c r="A17" s="130"/>
      <c r="B17" s="105"/>
      <c r="C17" s="105"/>
      <c r="D17" s="105"/>
      <c r="E17" s="105"/>
      <c r="F17" s="105"/>
      <c r="G17" s="105"/>
      <c r="H17" s="105"/>
      <c r="I17" s="105"/>
      <c r="J17" s="105"/>
      <c r="K17" s="105"/>
      <c r="L17" s="105"/>
      <c r="M17" s="128"/>
      <c r="N17" s="105"/>
      <c r="O17" s="105"/>
    </row>
    <row r="18" spans="1:19" ht="14.45" x14ac:dyDescent="0.3">
      <c r="A18" s="1078" t="s">
        <v>16</v>
      </c>
      <c r="B18" s="1077" t="s">
        <v>21</v>
      </c>
      <c r="C18" s="1077" t="s">
        <v>22</v>
      </c>
      <c r="D18" s="1077" t="s">
        <v>23</v>
      </c>
      <c r="E18" s="1077" t="s">
        <v>24</v>
      </c>
      <c r="F18" s="1077" t="s">
        <v>19</v>
      </c>
      <c r="G18" s="1077" t="s">
        <v>25</v>
      </c>
      <c r="H18" s="1077" t="s">
        <v>26</v>
      </c>
      <c r="I18" s="1077" t="s">
        <v>20</v>
      </c>
      <c r="J18" s="115"/>
      <c r="K18" s="115"/>
      <c r="L18" s="115"/>
      <c r="M18" s="1088"/>
      <c r="N18" s="115"/>
      <c r="O18" s="122"/>
    </row>
    <row r="19" spans="1:19" s="113" customFormat="1" ht="14.45" x14ac:dyDescent="0.3">
      <c r="A19" s="1087">
        <v>10</v>
      </c>
      <c r="B19" s="257" t="s">
        <v>452</v>
      </c>
      <c r="C19" s="257" t="s">
        <v>451</v>
      </c>
      <c r="D19" s="1086">
        <v>0.56000000000000005</v>
      </c>
      <c r="E19" s="256" t="s">
        <v>72</v>
      </c>
      <c r="F19" s="256">
        <v>1</v>
      </c>
      <c r="G19" s="256"/>
      <c r="H19" s="256">
        <v>1</v>
      </c>
      <c r="I19" s="46">
        <f t="shared" ref="I19:I26" si="0">IF(H19="",D19*F19,D19*F19*H19)</f>
        <v>0.56000000000000005</v>
      </c>
      <c r="J19" s="105"/>
      <c r="K19" s="105"/>
      <c r="L19" s="105"/>
      <c r="M19" s="128"/>
      <c r="N19" s="105"/>
      <c r="O19" s="105"/>
    </row>
    <row r="20" spans="1:19" ht="14.45" x14ac:dyDescent="0.3">
      <c r="A20" s="1076">
        <v>20</v>
      </c>
      <c r="B20" s="1082" t="s">
        <v>102</v>
      </c>
      <c r="C20" s="1082" t="s">
        <v>450</v>
      </c>
      <c r="D20" s="266">
        <v>0.13</v>
      </c>
      <c r="E20" s="1081" t="s">
        <v>72</v>
      </c>
      <c r="F20" s="1081">
        <v>1</v>
      </c>
      <c r="G20" s="1081"/>
      <c r="H20" s="1081">
        <v>1</v>
      </c>
      <c r="I20" s="73">
        <f t="shared" si="0"/>
        <v>0.13</v>
      </c>
      <c r="J20" s="105"/>
      <c r="K20" s="105"/>
      <c r="L20" s="105"/>
      <c r="M20" s="128"/>
      <c r="N20" s="105"/>
      <c r="O20" s="105"/>
    </row>
    <row r="21" spans="1:19" ht="14.45" x14ac:dyDescent="0.3">
      <c r="A21" s="1076">
        <v>30</v>
      </c>
      <c r="B21" s="1082" t="s">
        <v>102</v>
      </c>
      <c r="C21" s="1082" t="s">
        <v>449</v>
      </c>
      <c r="D21" s="266">
        <v>0.13</v>
      </c>
      <c r="E21" s="1081" t="s">
        <v>72</v>
      </c>
      <c r="F21" s="1081">
        <v>1</v>
      </c>
      <c r="G21" s="1081"/>
      <c r="H21" s="1081">
        <v>1</v>
      </c>
      <c r="I21" s="73">
        <f t="shared" si="0"/>
        <v>0.13</v>
      </c>
      <c r="J21" s="105"/>
      <c r="K21" s="105"/>
      <c r="L21" s="105"/>
      <c r="M21" s="128"/>
      <c r="N21" s="105"/>
      <c r="O21" s="105"/>
    </row>
    <row r="22" spans="1:19" ht="14.45" x14ac:dyDescent="0.3">
      <c r="A22" s="1076">
        <v>40</v>
      </c>
      <c r="B22" s="1082" t="s">
        <v>102</v>
      </c>
      <c r="C22" s="1082" t="s">
        <v>448</v>
      </c>
      <c r="D22" s="266">
        <v>0.13</v>
      </c>
      <c r="E22" s="1081" t="s">
        <v>72</v>
      </c>
      <c r="F22" s="1081">
        <v>1</v>
      </c>
      <c r="G22" s="1081"/>
      <c r="H22" s="1081">
        <v>1</v>
      </c>
      <c r="I22" s="73">
        <f t="shared" si="0"/>
        <v>0.13</v>
      </c>
      <c r="J22" s="129"/>
      <c r="K22" s="129"/>
      <c r="L22" s="129"/>
      <c r="M22" s="259"/>
      <c r="N22" s="129"/>
      <c r="O22" s="129"/>
    </row>
    <row r="23" spans="1:19" s="124" customFormat="1" ht="14.45" customHeight="1" x14ac:dyDescent="0.3">
      <c r="A23" s="1083">
        <v>50</v>
      </c>
      <c r="B23" s="1082" t="s">
        <v>28</v>
      </c>
      <c r="C23" s="1082" t="s">
        <v>447</v>
      </c>
      <c r="D23" s="266">
        <v>0.75</v>
      </c>
      <c r="E23" s="1081" t="s">
        <v>72</v>
      </c>
      <c r="F23" s="1081">
        <v>3</v>
      </c>
      <c r="G23" s="1081"/>
      <c r="H23" s="1081">
        <v>1</v>
      </c>
      <c r="I23" s="73">
        <f t="shared" si="0"/>
        <v>2.25</v>
      </c>
      <c r="J23" s="129"/>
      <c r="K23" s="129"/>
      <c r="L23" s="129"/>
      <c r="M23" s="259"/>
      <c r="N23" s="129"/>
      <c r="O23" s="122"/>
    </row>
    <row r="24" spans="1:19" ht="16.149999999999999" customHeight="1" x14ac:dyDescent="0.25">
      <c r="A24" s="1076">
        <v>60</v>
      </c>
      <c r="B24" s="1085" t="s">
        <v>29</v>
      </c>
      <c r="C24" s="1082" t="s">
        <v>447</v>
      </c>
      <c r="D24" s="1084">
        <v>0.25</v>
      </c>
      <c r="E24" s="594" t="s">
        <v>24</v>
      </c>
      <c r="F24" s="594">
        <v>3</v>
      </c>
      <c r="G24" s="1081"/>
      <c r="H24" s="1081">
        <v>1</v>
      </c>
      <c r="I24" s="73">
        <f t="shared" si="0"/>
        <v>0.75</v>
      </c>
      <c r="J24" s="129"/>
      <c r="K24" s="129"/>
      <c r="L24" s="129"/>
      <c r="M24" s="259"/>
      <c r="N24" s="129"/>
      <c r="O24" s="122"/>
    </row>
    <row r="25" spans="1:19" x14ac:dyDescent="0.25">
      <c r="A25" s="1076">
        <v>70</v>
      </c>
      <c r="B25" s="1082" t="s">
        <v>102</v>
      </c>
      <c r="C25" s="1082" t="s">
        <v>446</v>
      </c>
      <c r="D25" s="266">
        <v>0.13</v>
      </c>
      <c r="E25" s="1081" t="s">
        <v>445</v>
      </c>
      <c r="F25" s="1081">
        <v>1</v>
      </c>
      <c r="G25" s="1081"/>
      <c r="H25" s="1081">
        <v>1</v>
      </c>
      <c r="I25" s="73">
        <f t="shared" si="0"/>
        <v>0.13</v>
      </c>
      <c r="J25" s="129"/>
      <c r="K25" s="129"/>
      <c r="L25" s="129"/>
      <c r="M25" s="259"/>
      <c r="N25" s="129"/>
      <c r="O25" s="129"/>
    </row>
    <row r="26" spans="1:19" x14ac:dyDescent="0.25">
      <c r="A26" s="1083">
        <v>80</v>
      </c>
      <c r="B26" s="1082" t="s">
        <v>168</v>
      </c>
      <c r="C26" s="1082" t="s">
        <v>444</v>
      </c>
      <c r="D26" s="265">
        <v>0.63</v>
      </c>
      <c r="E26" s="1081" t="s">
        <v>72</v>
      </c>
      <c r="F26" s="1081">
        <v>1</v>
      </c>
      <c r="G26" s="1081"/>
      <c r="H26" s="1081">
        <v>1</v>
      </c>
      <c r="I26" s="73">
        <f t="shared" si="0"/>
        <v>0.63</v>
      </c>
      <c r="J26" s="105"/>
      <c r="K26" s="105"/>
      <c r="L26" s="105"/>
      <c r="M26" s="128"/>
      <c r="N26" s="105"/>
      <c r="O26" s="105"/>
    </row>
    <row r="27" spans="1:19" s="149" customFormat="1" x14ac:dyDescent="0.25">
      <c r="A27" s="1076">
        <v>90</v>
      </c>
      <c r="B27" s="1082" t="s">
        <v>28</v>
      </c>
      <c r="C27" s="1082" t="s">
        <v>443</v>
      </c>
      <c r="D27" s="266">
        <v>0.75</v>
      </c>
      <c r="E27" s="1081" t="s">
        <v>24</v>
      </c>
      <c r="F27" s="1081">
        <v>2</v>
      </c>
      <c r="G27" s="1081"/>
      <c r="H27" s="1081">
        <v>1</v>
      </c>
      <c r="I27" s="266">
        <f>D27*F27*H27</f>
        <v>1.5</v>
      </c>
      <c r="J27" s="254"/>
      <c r="K27" s="254"/>
      <c r="L27" s="254"/>
      <c r="M27" s="1079"/>
      <c r="N27" s="254"/>
      <c r="O27" s="254"/>
      <c r="P27" s="254"/>
      <c r="Q27" s="254"/>
      <c r="R27" s="254"/>
      <c r="S27" s="254"/>
    </row>
    <row r="28" spans="1:19" s="124" customFormat="1" x14ac:dyDescent="0.25">
      <c r="A28" s="1076">
        <v>100</v>
      </c>
      <c r="B28" s="1082" t="s">
        <v>29</v>
      </c>
      <c r="C28" s="1082" t="s">
        <v>443</v>
      </c>
      <c r="D28" s="266">
        <v>0.25</v>
      </c>
      <c r="E28" s="1081" t="s">
        <v>24</v>
      </c>
      <c r="F28" s="1081">
        <v>2</v>
      </c>
      <c r="G28" s="1081"/>
      <c r="H28" s="1081">
        <v>1</v>
      </c>
      <c r="I28" s="266">
        <f>D28*F28*H28</f>
        <v>0.5</v>
      </c>
      <c r="J28" s="254"/>
      <c r="K28" s="254"/>
      <c r="L28" s="254"/>
      <c r="M28" s="1079"/>
      <c r="N28" s="254"/>
      <c r="O28" s="254"/>
      <c r="P28" s="254"/>
      <c r="Q28" s="254"/>
      <c r="R28" s="254"/>
      <c r="S28" s="254"/>
    </row>
    <row r="29" spans="1:19" s="149" customFormat="1" ht="45" x14ac:dyDescent="0.25">
      <c r="A29" s="1076">
        <v>110</v>
      </c>
      <c r="B29" s="177" t="s">
        <v>442</v>
      </c>
      <c r="C29" s="1081" t="s">
        <v>441</v>
      </c>
      <c r="D29" s="1080">
        <v>8.75</v>
      </c>
      <c r="E29" s="1081" t="s">
        <v>24</v>
      </c>
      <c r="F29" s="1081">
        <v>1</v>
      </c>
      <c r="G29" s="1081"/>
      <c r="H29" s="1081">
        <v>1</v>
      </c>
      <c r="I29" s="1080">
        <f>D29*F29*H29</f>
        <v>8.75</v>
      </c>
      <c r="J29" s="254"/>
      <c r="K29" s="254"/>
      <c r="L29" s="254"/>
      <c r="M29" s="1079"/>
      <c r="N29" s="254"/>
      <c r="O29" s="254"/>
      <c r="P29" s="254"/>
      <c r="Q29" s="254"/>
      <c r="R29" s="254"/>
      <c r="S29" s="254"/>
    </row>
    <row r="30" spans="1:19" x14ac:dyDescent="0.25">
      <c r="A30" s="136"/>
      <c r="B30" s="115"/>
      <c r="C30" s="115"/>
      <c r="D30" s="115"/>
      <c r="E30" s="115"/>
      <c r="F30" s="115"/>
      <c r="G30" s="115"/>
      <c r="H30" s="319" t="s">
        <v>20</v>
      </c>
      <c r="I30" s="1074">
        <f>SUM(I19:I29)</f>
        <v>15.46</v>
      </c>
      <c r="J30" s="105"/>
      <c r="K30" s="105"/>
      <c r="L30" s="105"/>
      <c r="M30" s="128"/>
      <c r="N30" s="105"/>
      <c r="O30" s="105"/>
      <c r="P30" s="149"/>
      <c r="Q30" s="149"/>
      <c r="R30" s="149"/>
      <c r="S30" s="149"/>
    </row>
    <row r="31" spans="1:19" x14ac:dyDescent="0.25">
      <c r="A31" s="130"/>
      <c r="B31" s="105"/>
      <c r="C31" s="105"/>
      <c r="D31" s="105"/>
      <c r="E31" s="105"/>
      <c r="F31" s="105"/>
      <c r="G31" s="105"/>
      <c r="H31" s="105"/>
      <c r="I31" s="105"/>
      <c r="J31" s="105"/>
      <c r="K31" s="105"/>
      <c r="L31" s="105"/>
      <c r="M31" s="128"/>
      <c r="N31" s="105"/>
      <c r="O31" s="105"/>
      <c r="P31" s="124"/>
      <c r="Q31" s="124"/>
      <c r="R31" s="124"/>
      <c r="S31" s="124"/>
    </row>
    <row r="32" spans="1:19" x14ac:dyDescent="0.25">
      <c r="A32" s="1078" t="s">
        <v>16</v>
      </c>
      <c r="B32" s="1077" t="s">
        <v>30</v>
      </c>
      <c r="C32" s="1077" t="s">
        <v>22</v>
      </c>
      <c r="D32" s="1077" t="s">
        <v>23</v>
      </c>
      <c r="E32" s="1077" t="s">
        <v>31</v>
      </c>
      <c r="F32" s="1077" t="s">
        <v>32</v>
      </c>
      <c r="G32" s="1077" t="s">
        <v>33</v>
      </c>
      <c r="H32" s="1077" t="s">
        <v>34</v>
      </c>
      <c r="I32" s="1077" t="s">
        <v>19</v>
      </c>
      <c r="J32" s="1077" t="s">
        <v>20</v>
      </c>
      <c r="K32" s="105"/>
      <c r="L32" s="105"/>
      <c r="M32" s="128"/>
      <c r="N32" s="105"/>
      <c r="O32" s="105"/>
      <c r="P32" s="149"/>
      <c r="Q32" s="149"/>
      <c r="R32" s="149"/>
      <c r="S32" s="149"/>
    </row>
    <row r="33" spans="1:16" x14ac:dyDescent="0.25">
      <c r="A33" s="1076">
        <v>10</v>
      </c>
      <c r="B33" s="258" t="s">
        <v>85</v>
      </c>
      <c r="C33" s="257" t="s">
        <v>440</v>
      </c>
      <c r="D33" s="1075">
        <f>0.8/105154*E33^2*G33*SQRT(G33)+(0.003*EXP(0.319*E33))</f>
        <v>8.9628250610286439E-2</v>
      </c>
      <c r="E33" s="256">
        <v>6</v>
      </c>
      <c r="F33" s="181" t="s">
        <v>35</v>
      </c>
      <c r="G33" s="256">
        <v>40</v>
      </c>
      <c r="H33" s="257" t="s">
        <v>35</v>
      </c>
      <c r="I33" s="182">
        <v>3</v>
      </c>
      <c r="J33" s="266">
        <f t="shared" ref="J33:J38" si="1">D33*I33</f>
        <v>0.2688847518308593</v>
      </c>
      <c r="K33" s="105"/>
      <c r="L33" s="105"/>
      <c r="M33" s="128"/>
      <c r="N33" s="105"/>
      <c r="O33" s="105"/>
    </row>
    <row r="34" spans="1:16" x14ac:dyDescent="0.25">
      <c r="A34" s="256">
        <v>20</v>
      </c>
      <c r="B34" s="183" t="s">
        <v>36</v>
      </c>
      <c r="C34" s="257" t="s">
        <v>440</v>
      </c>
      <c r="D34" s="1075">
        <f>(0.009*EXP(0.2*E34))</f>
        <v>2.9881052304628931E-2</v>
      </c>
      <c r="E34" s="256">
        <v>6</v>
      </c>
      <c r="F34" s="181" t="s">
        <v>35</v>
      </c>
      <c r="G34" s="256"/>
      <c r="H34" s="257"/>
      <c r="I34" s="182">
        <v>3</v>
      </c>
      <c r="J34" s="178">
        <f t="shared" si="1"/>
        <v>8.9643156913886801E-2</v>
      </c>
      <c r="K34" s="105"/>
      <c r="L34" s="105"/>
      <c r="M34" s="128"/>
      <c r="N34" s="105"/>
      <c r="O34" s="105"/>
    </row>
    <row r="35" spans="1:16" x14ac:dyDescent="0.25">
      <c r="A35" s="256">
        <v>30</v>
      </c>
      <c r="B35" s="183" t="s">
        <v>37</v>
      </c>
      <c r="C35" s="257" t="s">
        <v>440</v>
      </c>
      <c r="D35" s="1075">
        <f>0.01</f>
        <v>0.01</v>
      </c>
      <c r="E35" s="256"/>
      <c r="F35" s="181" t="s">
        <v>35</v>
      </c>
      <c r="G35" s="256"/>
      <c r="H35" s="257"/>
      <c r="I35" s="182">
        <v>6</v>
      </c>
      <c r="J35" s="178">
        <f t="shared" si="1"/>
        <v>0.06</v>
      </c>
      <c r="K35" s="105"/>
      <c r="L35" s="105"/>
      <c r="M35" s="128"/>
      <c r="N35" s="105"/>
      <c r="O35" s="105"/>
    </row>
    <row r="36" spans="1:16" x14ac:dyDescent="0.25">
      <c r="A36" s="1076">
        <v>70</v>
      </c>
      <c r="B36" s="258" t="s">
        <v>85</v>
      </c>
      <c r="C36" s="257" t="s">
        <v>440</v>
      </c>
      <c r="D36" s="1075">
        <f>0.8/105154*E36^2*G36*SQRT(G36)+(0.003*EXP(0.319*E36))</f>
        <v>0.23710232523720945</v>
      </c>
      <c r="E36" s="256">
        <v>8</v>
      </c>
      <c r="F36" s="181" t="s">
        <v>35</v>
      </c>
      <c r="G36" s="256">
        <v>55</v>
      </c>
      <c r="H36" s="257" t="s">
        <v>35</v>
      </c>
      <c r="I36" s="182">
        <v>2</v>
      </c>
      <c r="J36" s="266">
        <f t="shared" si="1"/>
        <v>0.4742046504744189</v>
      </c>
      <c r="K36" s="105"/>
      <c r="L36" s="105"/>
      <c r="M36" s="128"/>
      <c r="N36" s="105"/>
      <c r="O36" s="105"/>
    </row>
    <row r="37" spans="1:16" x14ac:dyDescent="0.25">
      <c r="A37" s="256">
        <v>80</v>
      </c>
      <c r="B37" s="183" t="s">
        <v>36</v>
      </c>
      <c r="C37" s="257" t="s">
        <v>440</v>
      </c>
      <c r="D37" s="1075">
        <f>(0.009*EXP(0.2*E37))</f>
        <v>4.4577291819556032E-2</v>
      </c>
      <c r="E37" s="256">
        <v>8</v>
      </c>
      <c r="F37" s="181" t="s">
        <v>35</v>
      </c>
      <c r="G37" s="256"/>
      <c r="H37" s="257"/>
      <c r="I37" s="182">
        <v>2</v>
      </c>
      <c r="J37" s="178">
        <f t="shared" si="1"/>
        <v>8.9154583639112064E-2</v>
      </c>
      <c r="K37" s="105"/>
      <c r="L37" s="105"/>
      <c r="M37" s="128"/>
      <c r="O37" s="105"/>
      <c r="P37" s="105"/>
    </row>
    <row r="38" spans="1:16" x14ac:dyDescent="0.25">
      <c r="A38" s="256">
        <v>90</v>
      </c>
      <c r="B38" s="183" t="s">
        <v>37</v>
      </c>
      <c r="C38" s="257" t="s">
        <v>440</v>
      </c>
      <c r="D38" s="1075">
        <f>0.01</f>
        <v>0.01</v>
      </c>
      <c r="E38" s="256"/>
      <c r="F38" s="181" t="s">
        <v>35</v>
      </c>
      <c r="G38" s="256"/>
      <c r="H38" s="257"/>
      <c r="I38" s="182">
        <v>4</v>
      </c>
      <c r="J38" s="178">
        <f t="shared" si="1"/>
        <v>0.04</v>
      </c>
      <c r="K38" s="105"/>
      <c r="L38" s="105"/>
      <c r="M38" s="128"/>
      <c r="O38" s="105"/>
      <c r="P38" s="105"/>
    </row>
    <row r="39" spans="1:16" x14ac:dyDescent="0.25">
      <c r="A39" s="136"/>
      <c r="B39" s="115"/>
      <c r="C39" s="115"/>
      <c r="D39" s="115"/>
      <c r="E39" s="115"/>
      <c r="F39" s="115"/>
      <c r="G39" s="115"/>
      <c r="H39" s="115"/>
      <c r="I39" s="319" t="s">
        <v>20</v>
      </c>
      <c r="J39" s="1074">
        <f>SUM(J33:J38)</f>
        <v>1.0218871428582772</v>
      </c>
      <c r="K39" s="105"/>
      <c r="L39" s="105"/>
      <c r="M39" s="128"/>
      <c r="O39" s="105"/>
      <c r="P39" s="105"/>
    </row>
    <row r="40" spans="1:16" x14ac:dyDescent="0.25">
      <c r="A40" s="130"/>
      <c r="B40" s="105"/>
      <c r="C40" s="105"/>
      <c r="D40" s="105"/>
      <c r="E40" s="105"/>
      <c r="F40" s="105"/>
      <c r="G40" s="105"/>
      <c r="H40" s="105"/>
      <c r="I40" s="105"/>
      <c r="J40" s="115"/>
      <c r="K40" s="105"/>
      <c r="L40" s="105"/>
      <c r="M40" s="128"/>
    </row>
    <row r="41" spans="1:16" ht="15.75" thickBot="1" x14ac:dyDescent="0.3">
      <c r="A41" s="138"/>
      <c r="B41" s="139"/>
      <c r="C41" s="139"/>
      <c r="D41" s="139"/>
      <c r="E41" s="139"/>
      <c r="F41" s="139"/>
      <c r="G41" s="139"/>
      <c r="H41" s="139"/>
      <c r="I41" s="139"/>
      <c r="J41" s="139"/>
      <c r="K41" s="139"/>
      <c r="L41" s="139"/>
      <c r="M41" s="140"/>
    </row>
    <row r="42" spans="1:16" x14ac:dyDescent="0.25">
      <c r="A42" s="105"/>
      <c r="B42" s="105"/>
      <c r="C42" s="105"/>
      <c r="D42" s="105"/>
      <c r="E42" s="105"/>
      <c r="F42" s="105"/>
      <c r="G42" s="105"/>
      <c r="H42" s="105"/>
      <c r="I42" s="105"/>
      <c r="J42" s="105"/>
      <c r="K42" s="105"/>
      <c r="L42" s="105"/>
      <c r="M42" s="105"/>
    </row>
    <row r="43" spans="1:16" x14ac:dyDescent="0.25">
      <c r="L43" s="105"/>
      <c r="M43" s="105"/>
    </row>
    <row r="44" spans="1:16" x14ac:dyDescent="0.25">
      <c r="L44" s="105"/>
      <c r="M44" s="105"/>
    </row>
  </sheetData>
  <hyperlinks>
    <hyperlink ref="B10" location="'SU 10001'!A1" display="'SU 10001'!A1"/>
    <hyperlink ref="B11" location="'SU 10002'!A1" display="Front Bearing Spacer"/>
    <hyperlink ref="B13" location="'SU 10004'!A1" display="Speed Sensor Spacer"/>
    <hyperlink ref="B14" location="'SU 10005'!A1" display="Camber adjustment shim"/>
    <hyperlink ref="B12" location="'SU 10003'!A1" display="Front Wheel Spacer"/>
    <hyperlink ref="E2" location="SU_A1000_BOM" display="Back to BOM"/>
  </hyperlinks>
  <pageMargins left="0.31496062992125984" right="0.31496062992125984" top="0.31496062992125984" bottom="0.39370078740157483" header="0.51181102362204722" footer="0.31496062992125984"/>
  <pageSetup paperSize="9" scale="69" firstPageNumber="0" fitToHeight="99" orientation="landscape" horizontalDpi="1200" verticalDpi="1200"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1"/>
  <sheetViews>
    <sheetView zoomScaleNormal="100" zoomScalePageLayoutView="70" workbookViewId="0">
      <selection activeCell="G2" sqref="G2"/>
    </sheetView>
  </sheetViews>
  <sheetFormatPr baseColWidth="10" defaultColWidth="9.140625" defaultRowHeight="15" x14ac:dyDescent="0.25"/>
  <cols>
    <col min="1" max="1" width="9.140625" style="103"/>
    <col min="2" max="2" width="24" style="103" customWidth="1"/>
    <col min="3" max="3" width="21.7109375" style="103" customWidth="1"/>
    <col min="4" max="6" width="9.140625" style="103"/>
    <col min="7" max="7" width="18.7109375" style="103" customWidth="1"/>
    <col min="8" max="8" width="9.140625" style="103"/>
    <col min="9" max="9" width="15.42578125" style="103" customWidth="1"/>
    <col min="10" max="13" width="9.140625" style="103"/>
    <col min="14" max="14" width="12.5703125" style="103" bestFit="1" customWidth="1"/>
    <col min="15" max="15" width="3.140625" style="103" customWidth="1"/>
    <col min="16" max="16384" width="9.1406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109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94" t="s">
        <v>18</v>
      </c>
      <c r="N2" s="46">
        <f>N12+I29</f>
        <v>106.18580800000001</v>
      </c>
      <c r="O2" s="128"/>
    </row>
    <row r="3" spans="1:15" ht="14.45" x14ac:dyDescent="0.3">
      <c r="A3" s="1097" t="s">
        <v>5</v>
      </c>
      <c r="B3" s="104" t="str">
        <f>'SU A1000'!B3</f>
        <v>Wheels &amp; Tires</v>
      </c>
      <c r="C3" s="105"/>
      <c r="D3" s="394" t="s">
        <v>8</v>
      </c>
      <c r="E3" s="58" t="s">
        <v>84</v>
      </c>
      <c r="F3" s="105"/>
      <c r="G3" s="105"/>
      <c r="H3" s="105"/>
      <c r="I3" s="105"/>
      <c r="J3" s="105"/>
      <c r="K3" s="105"/>
      <c r="L3" s="105"/>
      <c r="M3" s="394" t="s">
        <v>6</v>
      </c>
      <c r="N3" s="47">
        <v>1</v>
      </c>
      <c r="O3" s="128"/>
    </row>
    <row r="4" spans="1:15" ht="14.45" x14ac:dyDescent="0.3">
      <c r="A4" s="1097" t="s">
        <v>7</v>
      </c>
      <c r="B4" s="184" t="str">
        <f>'SU A1000'!B4</f>
        <v>Front Uprights</v>
      </c>
      <c r="C4" s="105"/>
      <c r="D4" s="394" t="s">
        <v>10</v>
      </c>
      <c r="E4" s="105"/>
      <c r="F4" s="105"/>
      <c r="G4" s="105"/>
      <c r="H4" s="105"/>
      <c r="I4" s="105"/>
      <c r="J4" s="395" t="s">
        <v>8</v>
      </c>
      <c r="K4" s="105"/>
      <c r="L4" s="105"/>
      <c r="M4" s="105"/>
      <c r="N4" s="105"/>
      <c r="O4" s="128"/>
    </row>
    <row r="5" spans="1:15" ht="14.45" x14ac:dyDescent="0.3">
      <c r="A5" s="1097" t="s">
        <v>17</v>
      </c>
      <c r="B5" s="108" t="s">
        <v>471</v>
      </c>
      <c r="C5" s="105"/>
      <c r="D5" s="394" t="s">
        <v>14</v>
      </c>
      <c r="E5" s="105"/>
      <c r="F5" s="105"/>
      <c r="G5" s="105"/>
      <c r="H5" s="105"/>
      <c r="I5" s="105"/>
      <c r="J5" s="395" t="s">
        <v>10</v>
      </c>
      <c r="K5" s="105"/>
      <c r="L5" s="105"/>
      <c r="M5" s="394" t="s">
        <v>11</v>
      </c>
      <c r="N5" s="46">
        <f>N3*N2</f>
        <v>106.18580800000001</v>
      </c>
      <c r="O5" s="128"/>
    </row>
    <row r="6" spans="1:15" ht="14.45" x14ac:dyDescent="0.3">
      <c r="A6" s="1097" t="s">
        <v>9</v>
      </c>
      <c r="B6" s="109" t="s">
        <v>470</v>
      </c>
      <c r="C6" s="105"/>
      <c r="D6" s="105"/>
      <c r="E6" s="105"/>
      <c r="F6" s="105"/>
      <c r="G6" s="105"/>
      <c r="H6" s="105"/>
      <c r="I6" s="105"/>
      <c r="J6" s="395" t="s">
        <v>14</v>
      </c>
      <c r="K6" s="105"/>
      <c r="L6" s="105"/>
      <c r="M6" s="105"/>
      <c r="N6" s="105"/>
      <c r="O6" s="128"/>
    </row>
    <row r="7" spans="1:15" ht="14.45" x14ac:dyDescent="0.3">
      <c r="A7" s="109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28"/>
    </row>
    <row r="8" spans="1:15" ht="14.45" x14ac:dyDescent="0.3">
      <c r="A8" s="1097" t="s">
        <v>15</v>
      </c>
      <c r="B8" s="104" t="s">
        <v>169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28"/>
    </row>
    <row r="9" spans="1:15" ht="14.45" x14ac:dyDescent="0.3">
      <c r="A9" s="141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28"/>
    </row>
    <row r="10" spans="1:15" ht="14.45" x14ac:dyDescent="0.3">
      <c r="A10" s="1096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28"/>
    </row>
    <row r="11" spans="1:15" s="113" customFormat="1" ht="28.9" x14ac:dyDescent="0.3">
      <c r="A11" s="1095">
        <v>10</v>
      </c>
      <c r="B11" s="975" t="s">
        <v>165</v>
      </c>
      <c r="C11" s="839"/>
      <c r="D11" s="173">
        <v>4.2</v>
      </c>
      <c r="E11" s="1094">
        <f>J11*K11*L11</f>
        <v>6.8342400000000003</v>
      </c>
      <c r="F11" s="839" t="s">
        <v>43</v>
      </c>
      <c r="G11" s="839"/>
      <c r="H11" s="267"/>
      <c r="I11" s="974" t="s">
        <v>469</v>
      </c>
      <c r="J11" s="1071">
        <f>(180*280*10^-6)</f>
        <v>5.04E-2</v>
      </c>
      <c r="K11" s="1071">
        <v>0.05</v>
      </c>
      <c r="L11" s="972">
        <v>2712</v>
      </c>
      <c r="M11" s="270">
        <v>1</v>
      </c>
      <c r="N11" s="173">
        <f>D11*E11</f>
        <v>28.703808000000002</v>
      </c>
      <c r="O11" s="142"/>
    </row>
    <row r="12" spans="1:15" ht="14.45" x14ac:dyDescent="0.3">
      <c r="A12" s="136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80">
        <f>N11*M11</f>
        <v>28.703808000000002</v>
      </c>
      <c r="O12" s="128"/>
    </row>
    <row r="13" spans="1:15" ht="14.45" x14ac:dyDescent="0.3">
      <c r="A13" s="130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28"/>
    </row>
    <row r="14" spans="1:15" ht="14.45" x14ac:dyDescent="0.3">
      <c r="A14" s="1093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15"/>
      <c r="K14" s="115"/>
      <c r="L14" s="115"/>
      <c r="M14" s="115"/>
      <c r="N14" s="115"/>
      <c r="O14" s="128"/>
    </row>
    <row r="15" spans="1:15" s="124" customFormat="1" ht="28.9" x14ac:dyDescent="0.3">
      <c r="A15" s="1076">
        <v>10</v>
      </c>
      <c r="B15" s="1082" t="s">
        <v>111</v>
      </c>
      <c r="C15" s="1082" t="s">
        <v>468</v>
      </c>
      <c r="D15" s="251">
        <v>1.3</v>
      </c>
      <c r="E15" s="1081" t="s">
        <v>24</v>
      </c>
      <c r="F15" s="1081">
        <v>1</v>
      </c>
      <c r="G15" s="1081"/>
      <c r="H15" s="1081">
        <v>1</v>
      </c>
      <c r="I15" s="173">
        <f t="shared" ref="I15:I28" si="0">IF(H15="",D15*F15,D15*F15*H15)</f>
        <v>1.3</v>
      </c>
      <c r="J15" s="122"/>
      <c r="K15" s="122"/>
      <c r="L15" s="122"/>
      <c r="M15" s="122"/>
      <c r="N15" s="122"/>
      <c r="O15" s="132"/>
    </row>
    <row r="16" spans="1:15" ht="14.45" x14ac:dyDescent="0.3">
      <c r="A16" s="1076">
        <v>20</v>
      </c>
      <c r="B16" s="1082" t="s">
        <v>80</v>
      </c>
      <c r="C16" s="1082" t="s">
        <v>467</v>
      </c>
      <c r="D16" s="251">
        <v>0.04</v>
      </c>
      <c r="E16" s="1081" t="s">
        <v>79</v>
      </c>
      <c r="F16" s="1081">
        <v>1362</v>
      </c>
      <c r="G16" s="1081" t="s">
        <v>104</v>
      </c>
      <c r="H16" s="1081">
        <v>1</v>
      </c>
      <c r="I16" s="173">
        <f t="shared" si="0"/>
        <v>54.480000000000004</v>
      </c>
      <c r="J16" s="105"/>
      <c r="K16" s="105"/>
      <c r="L16" s="105"/>
      <c r="M16" s="105"/>
      <c r="N16" s="105"/>
      <c r="O16" s="128"/>
    </row>
    <row r="17" spans="1:15" s="149" customFormat="1" ht="14.45" x14ac:dyDescent="0.3">
      <c r="A17" s="1076">
        <v>30</v>
      </c>
      <c r="B17" s="1082" t="s">
        <v>87</v>
      </c>
      <c r="C17" s="1082" t="s">
        <v>466</v>
      </c>
      <c r="D17" s="251">
        <v>0.65</v>
      </c>
      <c r="E17" s="1081" t="s">
        <v>24</v>
      </c>
      <c r="F17" s="1081">
        <v>1</v>
      </c>
      <c r="G17" s="1081"/>
      <c r="H17" s="1081">
        <v>1</v>
      </c>
      <c r="I17" s="173">
        <f t="shared" si="0"/>
        <v>0.65</v>
      </c>
      <c r="J17" s="129"/>
      <c r="K17" s="129"/>
      <c r="L17" s="129"/>
      <c r="M17" s="129"/>
      <c r="N17" s="129"/>
      <c r="O17" s="259"/>
    </row>
    <row r="18" spans="1:15" s="149" customFormat="1" ht="28.9" x14ac:dyDescent="0.3">
      <c r="A18" s="1076">
        <v>40</v>
      </c>
      <c r="B18" s="1082" t="s">
        <v>80</v>
      </c>
      <c r="C18" s="1082" t="s">
        <v>465</v>
      </c>
      <c r="D18" s="251">
        <v>0.04</v>
      </c>
      <c r="E18" s="1081" t="s">
        <v>79</v>
      </c>
      <c r="F18" s="1081">
        <v>352.2</v>
      </c>
      <c r="G18" s="1081" t="s">
        <v>104</v>
      </c>
      <c r="H18" s="1081">
        <v>1</v>
      </c>
      <c r="I18" s="173">
        <f t="shared" si="0"/>
        <v>14.087999999999999</v>
      </c>
      <c r="J18" s="129"/>
      <c r="K18" s="129"/>
      <c r="L18" s="129"/>
      <c r="M18" s="129"/>
      <c r="N18" s="129"/>
      <c r="O18" s="259"/>
    </row>
    <row r="19" spans="1:15" s="149" customFormat="1" ht="14.45" x14ac:dyDescent="0.3">
      <c r="A19" s="1076">
        <v>50</v>
      </c>
      <c r="B19" s="1082" t="s">
        <v>87</v>
      </c>
      <c r="C19" s="1082"/>
      <c r="D19" s="251">
        <v>0.65</v>
      </c>
      <c r="E19" s="1081" t="s">
        <v>24</v>
      </c>
      <c r="F19" s="1081">
        <v>1</v>
      </c>
      <c r="G19" s="1081"/>
      <c r="H19" s="1081">
        <v>1</v>
      </c>
      <c r="I19" s="173">
        <f t="shared" si="0"/>
        <v>0.65</v>
      </c>
      <c r="J19" s="129"/>
      <c r="K19" s="129"/>
      <c r="L19" s="129"/>
      <c r="M19" s="129"/>
      <c r="N19" s="129"/>
      <c r="O19" s="259"/>
    </row>
    <row r="20" spans="1:15" s="149" customFormat="1" ht="43.15" x14ac:dyDescent="0.3">
      <c r="A20" s="1076">
        <v>60</v>
      </c>
      <c r="B20" s="1082" t="s">
        <v>80</v>
      </c>
      <c r="C20" s="1082" t="s">
        <v>464</v>
      </c>
      <c r="D20" s="251">
        <v>0.04</v>
      </c>
      <c r="E20" s="1081" t="s">
        <v>79</v>
      </c>
      <c r="F20" s="1081">
        <v>72.2</v>
      </c>
      <c r="G20" s="1081" t="s">
        <v>104</v>
      </c>
      <c r="H20" s="1081">
        <v>1</v>
      </c>
      <c r="I20" s="173">
        <f t="shared" si="0"/>
        <v>2.8880000000000003</v>
      </c>
      <c r="J20" s="129"/>
      <c r="K20" s="129"/>
      <c r="L20" s="129"/>
      <c r="M20" s="129"/>
      <c r="N20" s="129"/>
      <c r="O20" s="259"/>
    </row>
    <row r="21" spans="1:15" s="149" customFormat="1" x14ac:dyDescent="0.25">
      <c r="A21" s="1076">
        <v>70</v>
      </c>
      <c r="B21" s="1082" t="s">
        <v>87</v>
      </c>
      <c r="C21" s="1082"/>
      <c r="D21" s="251">
        <v>0.65</v>
      </c>
      <c r="E21" s="1081" t="s">
        <v>24</v>
      </c>
      <c r="F21" s="1081">
        <v>1</v>
      </c>
      <c r="G21" s="1081"/>
      <c r="H21" s="1081">
        <v>1</v>
      </c>
      <c r="I21" s="173">
        <f t="shared" si="0"/>
        <v>0.65</v>
      </c>
      <c r="J21" s="129"/>
      <c r="K21" s="129"/>
      <c r="L21" s="129"/>
      <c r="M21" s="129"/>
      <c r="N21" s="129"/>
      <c r="O21" s="259"/>
    </row>
    <row r="22" spans="1:15" ht="30" x14ac:dyDescent="0.25">
      <c r="A22" s="1076">
        <v>80</v>
      </c>
      <c r="B22" s="1082" t="s">
        <v>80</v>
      </c>
      <c r="C22" s="1082" t="s">
        <v>463</v>
      </c>
      <c r="D22" s="251">
        <v>0.04</v>
      </c>
      <c r="E22" s="1081" t="s">
        <v>79</v>
      </c>
      <c r="F22" s="1081">
        <v>1.1000000000000001</v>
      </c>
      <c r="G22" s="1081" t="s">
        <v>104</v>
      </c>
      <c r="H22" s="1081">
        <v>1</v>
      </c>
      <c r="I22" s="173">
        <f t="shared" si="0"/>
        <v>4.4000000000000004E-2</v>
      </c>
      <c r="J22" s="105"/>
      <c r="K22" s="105"/>
      <c r="L22" s="105"/>
      <c r="M22" s="105"/>
      <c r="N22" s="105"/>
      <c r="O22" s="128"/>
    </row>
    <row r="23" spans="1:15" x14ac:dyDescent="0.25">
      <c r="A23" s="1076">
        <v>90</v>
      </c>
      <c r="B23" s="1082" t="s">
        <v>87</v>
      </c>
      <c r="C23" s="1082"/>
      <c r="D23" s="251">
        <v>0.65</v>
      </c>
      <c r="E23" s="1081" t="s">
        <v>24</v>
      </c>
      <c r="F23" s="1081">
        <v>1</v>
      </c>
      <c r="G23" s="1081"/>
      <c r="H23" s="1081">
        <v>1</v>
      </c>
      <c r="I23" s="173">
        <f t="shared" si="0"/>
        <v>0.65</v>
      </c>
      <c r="J23" s="105"/>
      <c r="K23" s="105"/>
      <c r="L23" s="105"/>
      <c r="M23" s="105"/>
      <c r="N23" s="105"/>
      <c r="O23" s="128"/>
    </row>
    <row r="24" spans="1:15" ht="30" x14ac:dyDescent="0.25">
      <c r="A24" s="1076">
        <v>100</v>
      </c>
      <c r="B24" s="1082" t="s">
        <v>80</v>
      </c>
      <c r="C24" s="1082" t="s">
        <v>462</v>
      </c>
      <c r="D24" s="251">
        <v>0.04</v>
      </c>
      <c r="E24" s="1081" t="s">
        <v>79</v>
      </c>
      <c r="F24" s="1081">
        <v>18.2</v>
      </c>
      <c r="G24" s="1081" t="s">
        <v>104</v>
      </c>
      <c r="H24" s="1081">
        <v>1</v>
      </c>
      <c r="I24" s="173">
        <f t="shared" si="0"/>
        <v>0.72799999999999998</v>
      </c>
      <c r="J24" s="105"/>
      <c r="K24" s="105"/>
      <c r="L24" s="105"/>
      <c r="M24" s="105"/>
      <c r="N24" s="105"/>
      <c r="O24" s="128"/>
    </row>
    <row r="25" spans="1:15" x14ac:dyDescent="0.25">
      <c r="A25" s="1076">
        <v>110</v>
      </c>
      <c r="B25" s="1082" t="s">
        <v>87</v>
      </c>
      <c r="C25" s="1082"/>
      <c r="D25" s="251">
        <v>0.65</v>
      </c>
      <c r="E25" s="1081" t="s">
        <v>24</v>
      </c>
      <c r="F25" s="1081">
        <v>1</v>
      </c>
      <c r="G25" s="1081"/>
      <c r="H25" s="1081">
        <v>1</v>
      </c>
      <c r="I25" s="173">
        <f t="shared" si="0"/>
        <v>0.65</v>
      </c>
      <c r="J25" s="105"/>
      <c r="K25" s="105"/>
      <c r="L25" s="105"/>
      <c r="M25" s="105"/>
      <c r="N25" s="105"/>
      <c r="O25" s="128"/>
    </row>
    <row r="26" spans="1:15" ht="30" x14ac:dyDescent="0.25">
      <c r="A26" s="1076">
        <v>120</v>
      </c>
      <c r="B26" s="1082" t="s">
        <v>80</v>
      </c>
      <c r="C26" s="1082" t="s">
        <v>461</v>
      </c>
      <c r="D26" s="251">
        <v>0.04</v>
      </c>
      <c r="E26" s="1081" t="s">
        <v>79</v>
      </c>
      <c r="F26" s="1081">
        <v>17.600000000000001</v>
      </c>
      <c r="G26" s="1081" t="s">
        <v>104</v>
      </c>
      <c r="H26" s="1081">
        <v>1</v>
      </c>
      <c r="I26" s="173">
        <f t="shared" si="0"/>
        <v>0.70400000000000007</v>
      </c>
      <c r="J26" s="105"/>
      <c r="K26" s="105"/>
      <c r="L26" s="105"/>
      <c r="M26" s="105"/>
      <c r="N26" s="105"/>
      <c r="O26" s="128"/>
    </row>
    <row r="27" spans="1:15" x14ac:dyDescent="0.25">
      <c r="A27" s="1076">
        <v>130</v>
      </c>
      <c r="B27" s="1082" t="s">
        <v>87</v>
      </c>
      <c r="C27" s="1082"/>
      <c r="D27" s="251">
        <v>0.65</v>
      </c>
      <c r="E27" s="1081" t="s">
        <v>24</v>
      </c>
      <c r="F27" s="1081">
        <v>1</v>
      </c>
      <c r="G27" s="1081"/>
      <c r="H27" s="1081">
        <v>1</v>
      </c>
      <c r="I27" s="173">
        <f t="shared" si="0"/>
        <v>0.65</v>
      </c>
      <c r="J27" s="115"/>
      <c r="K27" s="115"/>
      <c r="L27" s="115"/>
      <c r="M27" s="115"/>
      <c r="N27" s="115"/>
      <c r="O27" s="128"/>
    </row>
    <row r="28" spans="1:15" ht="30" x14ac:dyDescent="0.25">
      <c r="A28" s="1076">
        <v>140</v>
      </c>
      <c r="B28" s="1082" t="s">
        <v>80</v>
      </c>
      <c r="C28" s="1082" t="s">
        <v>460</v>
      </c>
      <c r="D28" s="251">
        <v>0.04</v>
      </c>
      <c r="E28" s="1081" t="s">
        <v>79</v>
      </c>
      <c r="F28" s="1081">
        <v>5.8</v>
      </c>
      <c r="G28" s="1081" t="s">
        <v>104</v>
      </c>
      <c r="H28" s="1081">
        <v>1</v>
      </c>
      <c r="I28" s="173">
        <f t="shared" si="0"/>
        <v>0.23199999999999998</v>
      </c>
      <c r="J28" s="105"/>
      <c r="K28" s="105"/>
      <c r="L28" s="105"/>
      <c r="M28" s="105"/>
      <c r="N28" s="105"/>
      <c r="O28" s="128"/>
    </row>
    <row r="29" spans="1:15" x14ac:dyDescent="0.25">
      <c r="A29" s="136"/>
      <c r="B29" s="115"/>
      <c r="C29" s="115"/>
      <c r="D29" s="115"/>
      <c r="E29" s="115"/>
      <c r="F29" s="115"/>
      <c r="G29" s="115"/>
      <c r="H29" s="359" t="s">
        <v>20</v>
      </c>
      <c r="I29" s="1092">
        <f>SUM(I15:I26)</f>
        <v>77.482000000000014</v>
      </c>
      <c r="J29" s="1091"/>
      <c r="K29" s="105"/>
      <c r="L29" s="105"/>
      <c r="M29" s="105"/>
      <c r="N29" s="105"/>
      <c r="O29" s="128"/>
    </row>
    <row r="30" spans="1:15" x14ac:dyDescent="0.25">
      <c r="A30" s="130"/>
      <c r="B30" s="105"/>
      <c r="C30" s="105"/>
      <c r="D30" s="105"/>
      <c r="E30" s="105"/>
      <c r="F30" s="105"/>
      <c r="G30" s="105"/>
      <c r="H30" s="105"/>
      <c r="I30" s="129"/>
      <c r="J30" s="105"/>
      <c r="K30" s="105"/>
      <c r="L30" s="105"/>
      <c r="M30" s="105"/>
      <c r="N30" s="105"/>
      <c r="O30" s="128"/>
    </row>
    <row r="31" spans="1:15" ht="15.75" thickBot="1" x14ac:dyDescent="0.3">
      <c r="A31" s="138"/>
      <c r="B31" s="139"/>
      <c r="C31" s="139"/>
      <c r="D31" s="139"/>
      <c r="E31" s="139"/>
      <c r="F31" s="139"/>
      <c r="G31" s="139"/>
      <c r="H31" s="139"/>
      <c r="I31" s="139"/>
      <c r="J31" s="139"/>
      <c r="K31" s="139"/>
      <c r="L31" s="139"/>
      <c r="M31" s="139"/>
      <c r="N31" s="139"/>
      <c r="O31" s="140"/>
    </row>
  </sheetData>
  <hyperlinks>
    <hyperlink ref="E3" location="dSU_10001" display="Drawing"/>
    <hyperlink ref="B4" location="SU_A1000" display="SU_A1000"/>
    <hyperlink ref="G2" location="SU_A1000_BOM" display="Back to BOM"/>
  </hyperlinks>
  <pageMargins left="0.31496062992125984" right="0.31496062992125984" top="0.31496062992125984" bottom="0.39370078740157483" header="0.51181102362204722" footer="0.31496062992125984"/>
  <pageSetup paperSize="9" scale="79" firstPageNumber="0" fitToHeight="99" orientation="landscape" horizontalDpi="1200" verticalDpi="1200" r:id="rId1"/>
  <rowBreaks count="2" manualBreakCount="2">
    <brk id="27" max="16383" man="1"/>
    <brk id="61" max="16383" man="1"/>
  </rowBreaks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121" t="s">
        <v>472</v>
      </c>
    </row>
  </sheetData>
  <hyperlinks>
    <hyperlink ref="B1" location="SU_10001" display="SU_1000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90" zoomScaleNormal="90" zoomScalePageLayoutView="70" workbookViewId="0">
      <selection activeCell="G2" sqref="G2"/>
    </sheetView>
  </sheetViews>
  <sheetFormatPr baseColWidth="10" defaultColWidth="9.140625" defaultRowHeight="15" x14ac:dyDescent="0.25"/>
  <cols>
    <col min="1" max="1" width="9.140625" style="103"/>
    <col min="2" max="2" width="23" style="103" customWidth="1"/>
    <col min="3" max="3" width="22.28515625" style="103" customWidth="1"/>
    <col min="4" max="6" width="9.140625" style="103"/>
    <col min="7" max="7" width="11.7109375" style="103" customWidth="1"/>
    <col min="8" max="8" width="9.140625" style="103"/>
    <col min="9" max="9" width="17.5703125" style="103" customWidth="1"/>
    <col min="10" max="13" width="9.140625" style="103"/>
    <col min="14" max="14" width="12.5703125" style="103" bestFit="1" customWidth="1"/>
    <col min="15" max="15" width="3.140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94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94" t="s">
        <v>18</v>
      </c>
      <c r="N2" s="46">
        <f>SU_10002_m+SU_10002_p</f>
        <v>2.5052785600000003</v>
      </c>
      <c r="O2" s="107"/>
    </row>
    <row r="3" spans="1:15" ht="14.45" x14ac:dyDescent="0.3">
      <c r="A3" s="394" t="s">
        <v>5</v>
      </c>
      <c r="B3" s="104" t="str">
        <f>'SU A1000'!B3</f>
        <v>Wheels &amp; Tires</v>
      </c>
      <c r="C3" s="105"/>
      <c r="D3" s="394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94" t="s">
        <v>6</v>
      </c>
      <c r="N3" s="47">
        <v>1</v>
      </c>
      <c r="O3" s="107"/>
    </row>
    <row r="4" spans="1:15" ht="14.45" x14ac:dyDescent="0.3">
      <c r="A4" s="394" t="s">
        <v>7</v>
      </c>
      <c r="B4" s="184" t="str">
        <f>'SU A1000'!B4</f>
        <v>Front Uprights</v>
      </c>
      <c r="C4" s="105"/>
      <c r="D4" s="394" t="s">
        <v>10</v>
      </c>
      <c r="E4" s="105"/>
      <c r="F4" s="105"/>
      <c r="G4" s="105"/>
      <c r="H4" s="105"/>
      <c r="I4" s="105"/>
      <c r="J4" s="395" t="s">
        <v>8</v>
      </c>
      <c r="K4" s="105"/>
      <c r="L4" s="105"/>
      <c r="M4" s="105"/>
      <c r="N4" s="105"/>
      <c r="O4" s="107"/>
    </row>
    <row r="5" spans="1:15" ht="14.45" x14ac:dyDescent="0.3">
      <c r="A5" s="394" t="s">
        <v>17</v>
      </c>
      <c r="B5" s="108" t="s">
        <v>456</v>
      </c>
      <c r="C5" s="105"/>
      <c r="D5" s="394" t="s">
        <v>14</v>
      </c>
      <c r="E5" s="105"/>
      <c r="F5" s="105"/>
      <c r="G5" s="105"/>
      <c r="H5" s="105"/>
      <c r="I5" s="105"/>
      <c r="J5" s="395" t="s">
        <v>10</v>
      </c>
      <c r="K5" s="105"/>
      <c r="L5" s="105"/>
      <c r="M5" s="394" t="s">
        <v>11</v>
      </c>
      <c r="N5" s="46">
        <f>N3*N2</f>
        <v>2.5052785600000003</v>
      </c>
      <c r="O5" s="107"/>
    </row>
    <row r="6" spans="1:15" ht="14.45" x14ac:dyDescent="0.3">
      <c r="A6" s="394" t="s">
        <v>9</v>
      </c>
      <c r="B6" s="109" t="s">
        <v>475</v>
      </c>
      <c r="C6" s="105"/>
      <c r="D6" s="105"/>
      <c r="E6" s="105"/>
      <c r="F6" s="105"/>
      <c r="G6" s="105"/>
      <c r="H6" s="105"/>
      <c r="I6" s="105"/>
      <c r="J6" s="395" t="s">
        <v>14</v>
      </c>
      <c r="K6" s="105"/>
      <c r="L6" s="105"/>
      <c r="M6" s="105"/>
      <c r="N6" s="105"/>
      <c r="O6" s="107"/>
    </row>
    <row r="7" spans="1:15" ht="14.45" x14ac:dyDescent="0.3">
      <c r="A7" s="394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94" t="s">
        <v>15</v>
      </c>
      <c r="B8" s="104" t="s">
        <v>474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91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07"/>
    </row>
    <row r="11" spans="1:15" s="113" customFormat="1" ht="28.9" x14ac:dyDescent="0.3">
      <c r="A11" s="976">
        <v>10</v>
      </c>
      <c r="B11" s="975" t="s">
        <v>158</v>
      </c>
      <c r="C11" s="839"/>
      <c r="D11" s="173">
        <v>4.2</v>
      </c>
      <c r="E11" s="1094">
        <f>J11*K11*L11</f>
        <v>5.1256800000000005E-2</v>
      </c>
      <c r="F11" s="839" t="s">
        <v>43</v>
      </c>
      <c r="G11" s="839"/>
      <c r="H11" s="267"/>
      <c r="I11" s="974" t="s">
        <v>473</v>
      </c>
      <c r="J11" s="268">
        <f>0.07*0.045</f>
        <v>3.15E-3</v>
      </c>
      <c r="K11" s="269">
        <v>6.0000000000000001E-3</v>
      </c>
      <c r="L11" s="972">
        <v>2712</v>
      </c>
      <c r="M11" s="270">
        <v>1</v>
      </c>
      <c r="N11" s="173">
        <f>D11*E11</f>
        <v>0.21527856000000004</v>
      </c>
      <c r="O11" s="112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80">
        <f>N11*M11</f>
        <v>0.21527856000000004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87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15"/>
      <c r="K14" s="115"/>
      <c r="L14" s="115"/>
      <c r="M14" s="115"/>
      <c r="N14" s="115"/>
      <c r="O14" s="107"/>
    </row>
    <row r="15" spans="1:15" s="124" customFormat="1" ht="28.9" x14ac:dyDescent="0.3">
      <c r="A15" s="1081">
        <v>10</v>
      </c>
      <c r="B15" s="1082" t="s">
        <v>111</v>
      </c>
      <c r="C15" s="1082" t="s">
        <v>170</v>
      </c>
      <c r="D15" s="251">
        <v>1.3</v>
      </c>
      <c r="E15" s="1081" t="s">
        <v>24</v>
      </c>
      <c r="F15" s="1081">
        <v>1</v>
      </c>
      <c r="G15" s="1081"/>
      <c r="H15" s="1081">
        <v>1</v>
      </c>
      <c r="I15" s="173">
        <f>IF(H15="",D15*F15,D15*F15*H15)</f>
        <v>1.3</v>
      </c>
      <c r="J15" s="122"/>
      <c r="K15" s="122"/>
      <c r="L15" s="122"/>
      <c r="M15" s="122"/>
      <c r="N15" s="122"/>
      <c r="O15" s="123"/>
    </row>
    <row r="16" spans="1:15" ht="28.9" x14ac:dyDescent="0.3">
      <c r="A16" s="1081">
        <v>20</v>
      </c>
      <c r="B16" s="1082" t="s">
        <v>80</v>
      </c>
      <c r="C16" s="1082" t="s">
        <v>172</v>
      </c>
      <c r="D16" s="251">
        <v>0.04</v>
      </c>
      <c r="E16" s="1081" t="s">
        <v>79</v>
      </c>
      <c r="F16" s="1081">
        <v>5.3</v>
      </c>
      <c r="G16" s="1081" t="s">
        <v>104</v>
      </c>
      <c r="H16" s="1081">
        <v>1</v>
      </c>
      <c r="I16" s="173">
        <f>IF(H16="",D16*F16,D16*F16*H16)</f>
        <v>0.21199999999999999</v>
      </c>
      <c r="J16" s="105"/>
      <c r="K16" s="105"/>
      <c r="L16" s="105"/>
      <c r="M16" s="105"/>
      <c r="N16" s="105"/>
      <c r="O16" s="107"/>
    </row>
    <row r="17" spans="1:15" s="149" customFormat="1" ht="14.45" x14ac:dyDescent="0.3">
      <c r="A17" s="1081">
        <v>30</v>
      </c>
      <c r="B17" s="1082" t="s">
        <v>87</v>
      </c>
      <c r="C17" s="1082" t="s">
        <v>171</v>
      </c>
      <c r="D17" s="251">
        <v>0.65</v>
      </c>
      <c r="E17" s="1081" t="s">
        <v>24</v>
      </c>
      <c r="F17" s="1081">
        <v>1</v>
      </c>
      <c r="G17" s="1081"/>
      <c r="H17" s="1081">
        <v>1</v>
      </c>
      <c r="I17" s="173">
        <f>IF(H17="",D17*F17,D17*F17*H17)</f>
        <v>0.65</v>
      </c>
      <c r="J17" s="129"/>
      <c r="K17" s="129"/>
      <c r="L17" s="129"/>
      <c r="M17" s="129"/>
      <c r="N17" s="129"/>
      <c r="O17" s="148"/>
    </row>
    <row r="18" spans="1:15" s="149" customFormat="1" ht="28.9" x14ac:dyDescent="0.3">
      <c r="A18" s="1081">
        <v>40</v>
      </c>
      <c r="B18" s="1082" t="s">
        <v>80</v>
      </c>
      <c r="C18" s="1082" t="s">
        <v>172</v>
      </c>
      <c r="D18" s="251">
        <v>0.04</v>
      </c>
      <c r="E18" s="1081" t="s">
        <v>79</v>
      </c>
      <c r="F18" s="1081">
        <v>3.2</v>
      </c>
      <c r="G18" s="1081" t="s">
        <v>104</v>
      </c>
      <c r="H18" s="1081">
        <v>1</v>
      </c>
      <c r="I18" s="173">
        <f>IF(H18="",D18*F18,D18*F18*H18)</f>
        <v>0.128</v>
      </c>
      <c r="J18" s="129"/>
      <c r="K18" s="129"/>
      <c r="L18" s="129"/>
      <c r="M18" s="129"/>
      <c r="N18" s="129"/>
      <c r="O18" s="148"/>
    </row>
    <row r="19" spans="1:15" ht="14.45" x14ac:dyDescent="0.3">
      <c r="A19" s="114"/>
      <c r="B19" s="115"/>
      <c r="C19" s="115"/>
      <c r="D19" s="115"/>
      <c r="E19" s="115"/>
      <c r="F19" s="115"/>
      <c r="G19" s="115"/>
      <c r="H19" s="359" t="s">
        <v>20</v>
      </c>
      <c r="I19" s="380">
        <f>SUM(I15:I18)</f>
        <v>2.29</v>
      </c>
      <c r="J19" s="115"/>
      <c r="K19" s="115"/>
      <c r="L19" s="115"/>
      <c r="M19" s="115"/>
      <c r="N19" s="115"/>
      <c r="O19" s="107"/>
    </row>
    <row r="20" spans="1:15" ht="14.45" x14ac:dyDescent="0.3">
      <c r="A20" s="116"/>
      <c r="B20" s="105"/>
      <c r="C20" s="105"/>
      <c r="D20" s="105"/>
      <c r="E20" s="105"/>
      <c r="F20" s="105"/>
      <c r="G20" s="105"/>
      <c r="H20" s="105"/>
      <c r="I20" s="129"/>
      <c r="J20" s="105"/>
      <c r="K20" s="105"/>
      <c r="L20" s="105"/>
      <c r="M20" s="105"/>
      <c r="N20" s="105"/>
      <c r="O20" s="107"/>
    </row>
    <row r="21" spans="1:15" thickBot="1" x14ac:dyDescent="0.35">
      <c r="A21" s="118"/>
      <c r="B21" s="119"/>
      <c r="C21" s="119"/>
      <c r="D21" s="119"/>
      <c r="E21" s="119"/>
      <c r="F21" s="119"/>
      <c r="G21" s="119"/>
      <c r="H21" s="119"/>
      <c r="I21" s="119"/>
      <c r="J21" s="119"/>
      <c r="K21" s="119"/>
      <c r="L21" s="119"/>
      <c r="M21" s="119"/>
      <c r="N21" s="119"/>
      <c r="O21" s="120"/>
    </row>
  </sheetData>
  <hyperlinks>
    <hyperlink ref="E3" location="dSU_10002" display="Drawing"/>
    <hyperlink ref="B4" location="SU_A1000" display="SU_A1000"/>
    <hyperlink ref="G2" location="SU_A1000_BOM" display="Back to BOM"/>
  </hyperlinks>
  <pageMargins left="0.31496062992125984" right="0.31496062992125984" top="0.31496062992125984" bottom="0.39370078740157483" header="0.51181102362204722" footer="0.31496062992125984"/>
  <pageSetup paperSize="9" scale="82" firstPageNumber="0" fitToHeight="99" orientation="landscape" horizontalDpi="1200" verticalDpi="1200" r:id="rId1"/>
  <rowBreaks count="2" manualBreakCount="2">
    <brk id="21" max="16383" man="1"/>
    <brk id="55" max="16383" man="1"/>
  </row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121" t="s">
        <v>476</v>
      </c>
    </row>
  </sheetData>
  <hyperlinks>
    <hyperlink ref="B1" location="SU_10002" display="SU_10002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4"/>
  <sheetViews>
    <sheetView zoomScale="110" zoomScaleNormal="11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17.7109375" style="103" customWidth="1"/>
    <col min="3" max="3" width="27.28515625" style="103" customWidth="1"/>
    <col min="4" max="6" width="9.140625" style="103"/>
    <col min="7" max="7" width="14.42578125" style="103" customWidth="1"/>
    <col min="8" max="13" width="9.140625" style="103"/>
    <col min="14" max="14" width="12.5703125" style="103" bestFit="1" customWidth="1"/>
    <col min="15" max="15" width="3.140625" style="103" customWidth="1"/>
    <col min="16" max="16384" width="9.1406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109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94" t="s">
        <v>18</v>
      </c>
      <c r="N2" s="46">
        <f>SU_10003_m+SU_10003_p</f>
        <v>18.677843750000001</v>
      </c>
      <c r="O2" s="128"/>
    </row>
    <row r="3" spans="1:15" ht="14.45" x14ac:dyDescent="0.3">
      <c r="A3" s="1097" t="s">
        <v>5</v>
      </c>
      <c r="B3" s="104" t="str">
        <f>'SU A1000'!B3</f>
        <v>Wheels &amp; Tires</v>
      </c>
      <c r="C3" s="105"/>
      <c r="D3" s="394" t="s">
        <v>8</v>
      </c>
      <c r="E3" s="184" t="s">
        <v>84</v>
      </c>
      <c r="F3" s="105"/>
      <c r="G3" s="105"/>
      <c r="H3" s="105"/>
      <c r="I3" s="105"/>
      <c r="J3" s="105"/>
      <c r="K3" s="105"/>
      <c r="L3" s="105"/>
      <c r="M3" s="394" t="s">
        <v>6</v>
      </c>
      <c r="N3" s="47">
        <v>1</v>
      </c>
      <c r="O3" s="128"/>
    </row>
    <row r="4" spans="1:15" ht="14.45" x14ac:dyDescent="0.3">
      <c r="A4" s="1097" t="s">
        <v>7</v>
      </c>
      <c r="B4" s="184" t="str">
        <f>'SU A1000'!B4</f>
        <v>Front Uprights</v>
      </c>
      <c r="C4" s="105"/>
      <c r="D4" s="394" t="s">
        <v>10</v>
      </c>
      <c r="E4" s="105"/>
      <c r="F4" s="105"/>
      <c r="G4" s="105"/>
      <c r="H4" s="105"/>
      <c r="I4" s="105"/>
      <c r="J4" s="395" t="s">
        <v>8</v>
      </c>
      <c r="K4" s="105"/>
      <c r="L4" s="105"/>
      <c r="M4" s="105"/>
      <c r="N4" s="105"/>
      <c r="O4" s="128"/>
    </row>
    <row r="5" spans="1:15" ht="14.45" x14ac:dyDescent="0.3">
      <c r="A5" s="1097" t="s">
        <v>17</v>
      </c>
      <c r="B5" s="108" t="s">
        <v>455</v>
      </c>
      <c r="C5" s="105"/>
      <c r="D5" s="394" t="s">
        <v>14</v>
      </c>
      <c r="E5" s="105"/>
      <c r="F5" s="105"/>
      <c r="G5" s="105"/>
      <c r="H5" s="105"/>
      <c r="I5" s="105"/>
      <c r="J5" s="395" t="s">
        <v>10</v>
      </c>
      <c r="K5" s="105"/>
      <c r="L5" s="105"/>
      <c r="M5" s="394" t="s">
        <v>11</v>
      </c>
      <c r="N5" s="46">
        <f>N3*N2</f>
        <v>18.677843750000001</v>
      </c>
      <c r="O5" s="128"/>
    </row>
    <row r="6" spans="1:15" ht="14.45" x14ac:dyDescent="0.3">
      <c r="A6" s="1097" t="s">
        <v>9</v>
      </c>
      <c r="B6" s="109" t="s">
        <v>483</v>
      </c>
      <c r="C6" s="105"/>
      <c r="D6" s="105"/>
      <c r="E6" s="105"/>
      <c r="F6" s="105"/>
      <c r="G6" s="105"/>
      <c r="H6" s="105"/>
      <c r="I6" s="105"/>
      <c r="J6" s="395" t="s">
        <v>14</v>
      </c>
      <c r="K6" s="105"/>
      <c r="L6" s="105"/>
      <c r="M6" s="105"/>
      <c r="N6" s="105"/>
      <c r="O6" s="128"/>
    </row>
    <row r="7" spans="1:15" ht="14.45" x14ac:dyDescent="0.3">
      <c r="A7" s="109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28"/>
    </row>
    <row r="8" spans="1:15" ht="14.45" x14ac:dyDescent="0.3">
      <c r="A8" s="1097" t="s">
        <v>15</v>
      </c>
      <c r="B8" s="104" t="s">
        <v>482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28"/>
    </row>
    <row r="9" spans="1:15" ht="14.45" x14ac:dyDescent="0.3">
      <c r="A9" s="141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28"/>
    </row>
    <row r="10" spans="1:15" ht="14.45" x14ac:dyDescent="0.3">
      <c r="A10" s="1096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28"/>
    </row>
    <row r="11" spans="1:15" s="113" customFormat="1" ht="14.45" x14ac:dyDescent="0.3">
      <c r="A11" s="1101">
        <v>10</v>
      </c>
      <c r="B11" s="855" t="s">
        <v>78</v>
      </c>
      <c r="C11" s="373"/>
      <c r="D11" s="167">
        <v>2.25</v>
      </c>
      <c r="E11" s="1100">
        <f>J11*K11*L11</f>
        <v>1.236375</v>
      </c>
      <c r="F11" s="373" t="s">
        <v>43</v>
      </c>
      <c r="G11" s="373"/>
      <c r="H11" s="168"/>
      <c r="I11" s="372" t="s">
        <v>481</v>
      </c>
      <c r="J11" s="169">
        <f>0.05*0.07</f>
        <v>3.5000000000000005E-3</v>
      </c>
      <c r="K11" s="170">
        <v>4.4999999999999998E-2</v>
      </c>
      <c r="L11" s="852">
        <v>7850</v>
      </c>
      <c r="M11" s="175">
        <v>1</v>
      </c>
      <c r="N11" s="167">
        <f>D11*E11</f>
        <v>2.7818437500000002</v>
      </c>
      <c r="O11" s="142"/>
    </row>
    <row r="12" spans="1:15" ht="14.45" x14ac:dyDescent="0.3">
      <c r="A12" s="136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80">
        <f>N11*M11</f>
        <v>2.7818437500000002</v>
      </c>
      <c r="O12" s="128"/>
    </row>
    <row r="13" spans="1:15" ht="14.45" x14ac:dyDescent="0.3">
      <c r="A13" s="130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28"/>
    </row>
    <row r="14" spans="1:15" ht="14.45" x14ac:dyDescent="0.3">
      <c r="A14" s="1093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15"/>
      <c r="K14" s="115"/>
      <c r="L14" s="115"/>
      <c r="M14" s="115"/>
      <c r="N14" s="115"/>
      <c r="O14" s="128"/>
    </row>
    <row r="15" spans="1:15" s="124" customFormat="1" ht="14.45" x14ac:dyDescent="0.3">
      <c r="A15" s="248">
        <v>10</v>
      </c>
      <c r="B15" s="257" t="s">
        <v>111</v>
      </c>
      <c r="C15" s="257" t="s">
        <v>468</v>
      </c>
      <c r="D15" s="185">
        <v>1.3</v>
      </c>
      <c r="E15" s="256" t="s">
        <v>24</v>
      </c>
      <c r="F15" s="256">
        <v>1</v>
      </c>
      <c r="G15" s="256"/>
      <c r="H15" s="256">
        <v>1</v>
      </c>
      <c r="I15" s="173">
        <f t="shared" ref="I15:I22" si="0">IF(H15="",D15*F15,D15*F15*H15)</f>
        <v>1.3</v>
      </c>
      <c r="J15" s="122"/>
      <c r="K15" s="122"/>
      <c r="L15" s="122"/>
      <c r="M15" s="122"/>
      <c r="N15" s="122"/>
      <c r="O15" s="132"/>
    </row>
    <row r="16" spans="1:15" ht="14.45" x14ac:dyDescent="0.3">
      <c r="A16" s="248">
        <v>20</v>
      </c>
      <c r="B16" s="257" t="s">
        <v>80</v>
      </c>
      <c r="C16" s="257" t="s">
        <v>480</v>
      </c>
      <c r="D16" s="185">
        <v>0.04</v>
      </c>
      <c r="E16" s="256" t="s">
        <v>79</v>
      </c>
      <c r="F16" s="256">
        <v>85.4</v>
      </c>
      <c r="G16" s="256" t="s">
        <v>93</v>
      </c>
      <c r="H16" s="256">
        <v>3</v>
      </c>
      <c r="I16" s="167">
        <f t="shared" si="0"/>
        <v>10.248000000000001</v>
      </c>
      <c r="J16" s="105"/>
      <c r="K16" s="105"/>
      <c r="L16" s="105"/>
      <c r="M16" s="105"/>
      <c r="N16" s="105"/>
      <c r="O16" s="128"/>
    </row>
    <row r="17" spans="1:15" s="149" customFormat="1" ht="14.45" x14ac:dyDescent="0.3">
      <c r="A17" s="248">
        <v>30</v>
      </c>
      <c r="B17" s="257" t="s">
        <v>87</v>
      </c>
      <c r="C17" s="257" t="s">
        <v>466</v>
      </c>
      <c r="D17" s="185">
        <v>0.65</v>
      </c>
      <c r="E17" s="256" t="s">
        <v>24</v>
      </c>
      <c r="F17" s="256">
        <v>1</v>
      </c>
      <c r="G17" s="256"/>
      <c r="H17" s="256">
        <v>1</v>
      </c>
      <c r="I17" s="167">
        <f t="shared" si="0"/>
        <v>0.65</v>
      </c>
      <c r="J17" s="129"/>
      <c r="K17" s="129"/>
      <c r="L17" s="129"/>
      <c r="M17" s="129"/>
      <c r="N17" s="129"/>
      <c r="O17" s="259"/>
    </row>
    <row r="18" spans="1:15" s="149" customFormat="1" ht="14.45" x14ac:dyDescent="0.3">
      <c r="A18" s="248">
        <v>40</v>
      </c>
      <c r="B18" s="257" t="s">
        <v>80</v>
      </c>
      <c r="C18" s="257" t="s">
        <v>479</v>
      </c>
      <c r="D18" s="185">
        <v>0.04</v>
      </c>
      <c r="E18" s="256" t="s">
        <v>79</v>
      </c>
      <c r="F18" s="256">
        <v>25.2</v>
      </c>
      <c r="G18" s="256" t="s">
        <v>93</v>
      </c>
      <c r="H18" s="256">
        <v>3</v>
      </c>
      <c r="I18" s="167">
        <f t="shared" si="0"/>
        <v>3.024</v>
      </c>
      <c r="J18" s="129"/>
      <c r="K18" s="129"/>
      <c r="L18" s="129"/>
      <c r="M18" s="129"/>
      <c r="N18" s="129"/>
      <c r="O18" s="259"/>
    </row>
    <row r="19" spans="1:15" s="149" customFormat="1" ht="14.45" x14ac:dyDescent="0.3">
      <c r="A19" s="248">
        <v>50</v>
      </c>
      <c r="B19" s="257" t="s">
        <v>87</v>
      </c>
      <c r="C19" s="257" t="s">
        <v>466</v>
      </c>
      <c r="D19" s="185">
        <v>0.65</v>
      </c>
      <c r="E19" s="256" t="s">
        <v>24</v>
      </c>
      <c r="F19" s="256">
        <v>1</v>
      </c>
      <c r="G19" s="256"/>
      <c r="H19" s="256">
        <v>1</v>
      </c>
      <c r="I19" s="167">
        <f t="shared" si="0"/>
        <v>0.65</v>
      </c>
      <c r="J19" s="129"/>
      <c r="K19" s="129"/>
      <c r="L19" s="129"/>
      <c r="M19" s="129"/>
      <c r="N19" s="129"/>
      <c r="O19" s="259"/>
    </row>
    <row r="20" spans="1:15" s="149" customFormat="1" ht="14.45" x14ac:dyDescent="0.3">
      <c r="A20" s="248">
        <v>60</v>
      </c>
      <c r="B20" s="257" t="s">
        <v>80</v>
      </c>
      <c r="C20" s="257" t="s">
        <v>478</v>
      </c>
      <c r="D20" s="185">
        <v>0.04</v>
      </c>
      <c r="E20" s="256" t="s">
        <v>79</v>
      </c>
      <c r="F20" s="256">
        <v>0.2</v>
      </c>
      <c r="G20" s="256" t="s">
        <v>93</v>
      </c>
      <c r="H20" s="256">
        <v>3</v>
      </c>
      <c r="I20" s="167">
        <f t="shared" si="0"/>
        <v>2.4E-2</v>
      </c>
      <c r="J20" s="129"/>
      <c r="K20" s="129"/>
      <c r="L20" s="129"/>
      <c r="M20" s="129"/>
      <c r="N20" s="129"/>
      <c r="O20" s="259"/>
    </row>
    <row r="21" spans="1:15" ht="14.45" x14ac:dyDescent="0.3">
      <c r="A21" s="248">
        <v>70</v>
      </c>
      <c r="B21" s="257" t="s">
        <v>87</v>
      </c>
      <c r="C21" s="257" t="s">
        <v>466</v>
      </c>
      <c r="D21" s="185">
        <v>0.65</v>
      </c>
      <c r="E21" s="256" t="s">
        <v>24</v>
      </c>
      <c r="F21" s="256">
        <v>1</v>
      </c>
      <c r="G21" s="256"/>
      <c r="H21" s="256">
        <v>1</v>
      </c>
      <c r="I21" s="167">
        <f t="shared" si="0"/>
        <v>0.65</v>
      </c>
      <c r="J21" s="115"/>
      <c r="K21" s="115"/>
      <c r="L21" s="115"/>
      <c r="M21" s="115"/>
      <c r="N21" s="115"/>
      <c r="O21" s="128"/>
    </row>
    <row r="22" spans="1:15" x14ac:dyDescent="0.25">
      <c r="A22" s="248">
        <v>80</v>
      </c>
      <c r="B22" s="257" t="s">
        <v>80</v>
      </c>
      <c r="C22" s="257" t="s">
        <v>477</v>
      </c>
      <c r="D22" s="185">
        <v>0.04</v>
      </c>
      <c r="E22" s="256" t="s">
        <v>79</v>
      </c>
      <c r="F22" s="256">
        <v>3.56</v>
      </c>
      <c r="G22" s="256" t="s">
        <v>93</v>
      </c>
      <c r="H22" s="1099">
        <v>3</v>
      </c>
      <c r="I22" s="63">
        <f t="shared" si="0"/>
        <v>0.42720000000000002</v>
      </c>
      <c r="J22" s="105"/>
      <c r="K22" s="105"/>
      <c r="L22" s="105"/>
      <c r="M22" s="105"/>
      <c r="N22" s="105"/>
      <c r="O22" s="128"/>
    </row>
    <row r="23" spans="1:15" x14ac:dyDescent="0.25">
      <c r="A23" s="130"/>
      <c r="B23" s="105"/>
      <c r="C23" s="105"/>
      <c r="D23" s="105"/>
      <c r="E23" s="105"/>
      <c r="F23" s="105"/>
      <c r="G23" s="105"/>
      <c r="H23" s="371" t="s">
        <v>20</v>
      </c>
      <c r="I23" s="1098">
        <f>SUM(I15:I20)</f>
        <v>15.896000000000001</v>
      </c>
      <c r="J23" s="105"/>
      <c r="K23" s="105"/>
      <c r="L23" s="105"/>
      <c r="M23" s="105"/>
      <c r="N23" s="105"/>
      <c r="O23" s="128"/>
    </row>
    <row r="24" spans="1:15" ht="15.75" thickBot="1" x14ac:dyDescent="0.3">
      <c r="A24" s="138"/>
      <c r="B24" s="139"/>
      <c r="C24" s="139"/>
      <c r="D24" s="139"/>
      <c r="E24" s="139"/>
      <c r="F24" s="139"/>
      <c r="G24" s="139"/>
      <c r="H24" s="139"/>
      <c r="I24" s="139"/>
      <c r="J24" s="139"/>
      <c r="K24" s="139"/>
      <c r="L24" s="139"/>
      <c r="M24" s="139"/>
      <c r="N24" s="139"/>
      <c r="O24" s="140"/>
    </row>
  </sheetData>
  <hyperlinks>
    <hyperlink ref="E3" location="dSU_10003" display="Drawing"/>
    <hyperlink ref="B4" location="SU_A1000" display="SU_A1000"/>
    <hyperlink ref="G2" location="SU_A1000_BOM" display="Back to BOM"/>
  </hyperlinks>
  <pageMargins left="0.31496062992125984" right="0.31496062992125984" top="0.31496062992125984" bottom="0.39370078740157483" header="0.51181102362204722" footer="0.31496062992125984"/>
  <pageSetup paperSize="9" scale="85" firstPageNumber="0" fitToHeight="99" orientation="landscape" horizontalDpi="1200" verticalDpi="1200" r:id="rId1"/>
  <rowBreaks count="2" manualBreakCount="2">
    <brk id="23" max="16383" man="1"/>
    <brk id="57" max="16383" man="1"/>
  </rowBreaks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121" t="s">
        <v>484</v>
      </c>
    </row>
  </sheetData>
  <hyperlinks>
    <hyperlink ref="B1" location="SU_10003" display="SU_10003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18.85546875" style="103" customWidth="1"/>
    <col min="3" max="3" width="13.42578125" style="103" customWidth="1"/>
    <col min="4" max="6" width="9.140625" style="103"/>
    <col min="7" max="7" width="11.7109375" style="103" customWidth="1"/>
    <col min="8" max="8" width="9.140625" style="103"/>
    <col min="9" max="9" width="13" style="103" customWidth="1"/>
    <col min="10" max="13" width="9.140625" style="103"/>
    <col min="14" max="14" width="12.5703125" style="103" bestFit="1" customWidth="1"/>
    <col min="15" max="15" width="3.140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94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94" t="s">
        <v>18</v>
      </c>
      <c r="N2" s="46">
        <f>SU_10004_m+SU_10004_p</f>
        <v>0.83572750000000007</v>
      </c>
      <c r="O2" s="107"/>
    </row>
    <row r="3" spans="1:15" ht="14.45" x14ac:dyDescent="0.3">
      <c r="A3" s="394" t="s">
        <v>5</v>
      </c>
      <c r="B3" s="104" t="str">
        <f>'SU A1000'!B3</f>
        <v>Wheels &amp; Tires</v>
      </c>
      <c r="C3" s="105"/>
      <c r="D3" s="394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94" t="s">
        <v>6</v>
      </c>
      <c r="N3" s="47">
        <v>1</v>
      </c>
      <c r="O3" s="107"/>
    </row>
    <row r="4" spans="1:15" ht="14.45" x14ac:dyDescent="0.3">
      <c r="A4" s="394" t="s">
        <v>7</v>
      </c>
      <c r="B4" s="184" t="str">
        <f>'SU A1000'!B4</f>
        <v>Front Uprights</v>
      </c>
      <c r="C4" s="105"/>
      <c r="D4" s="394" t="s">
        <v>10</v>
      </c>
      <c r="E4" s="105"/>
      <c r="F4" s="105"/>
      <c r="G4" s="105"/>
      <c r="H4" s="105"/>
      <c r="I4" s="105"/>
      <c r="J4" s="395" t="s">
        <v>8</v>
      </c>
      <c r="K4" s="105"/>
      <c r="L4" s="105"/>
      <c r="M4" s="105"/>
      <c r="N4" s="105"/>
      <c r="O4" s="107"/>
    </row>
    <row r="5" spans="1:15" ht="14.45" x14ac:dyDescent="0.3">
      <c r="A5" s="394" t="s">
        <v>17</v>
      </c>
      <c r="B5" s="108" t="s">
        <v>488</v>
      </c>
      <c r="C5" s="105"/>
      <c r="D5" s="394" t="s">
        <v>14</v>
      </c>
      <c r="E5" s="105"/>
      <c r="F5" s="105"/>
      <c r="G5" s="105"/>
      <c r="H5" s="105"/>
      <c r="I5" s="105"/>
      <c r="J5" s="395" t="s">
        <v>10</v>
      </c>
      <c r="K5" s="105"/>
      <c r="L5" s="105"/>
      <c r="M5" s="394" t="s">
        <v>11</v>
      </c>
      <c r="N5" s="46">
        <f>N3*N2</f>
        <v>0.83572750000000007</v>
      </c>
      <c r="O5" s="107"/>
    </row>
    <row r="6" spans="1:15" ht="14.45" x14ac:dyDescent="0.3">
      <c r="A6" s="394" t="s">
        <v>9</v>
      </c>
      <c r="B6" s="109" t="s">
        <v>487</v>
      </c>
      <c r="C6" s="105"/>
      <c r="D6" s="105"/>
      <c r="E6" s="105"/>
      <c r="F6" s="105"/>
      <c r="G6" s="105"/>
      <c r="H6" s="105"/>
      <c r="I6" s="105"/>
      <c r="J6" s="395" t="s">
        <v>14</v>
      </c>
      <c r="K6" s="105"/>
      <c r="L6" s="105"/>
      <c r="M6" s="105"/>
      <c r="N6" s="105"/>
      <c r="O6" s="107"/>
    </row>
    <row r="7" spans="1:15" ht="14.45" x14ac:dyDescent="0.3">
      <c r="A7" s="394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94" t="s">
        <v>15</v>
      </c>
      <c r="B8" s="104" t="s">
        <v>486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91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07"/>
    </row>
    <row r="11" spans="1:15" s="124" customFormat="1" ht="28.9" x14ac:dyDescent="0.3">
      <c r="A11" s="976">
        <v>10</v>
      </c>
      <c r="B11" s="975" t="s">
        <v>110</v>
      </c>
      <c r="C11" s="839"/>
      <c r="D11" s="173">
        <v>2.25</v>
      </c>
      <c r="E11" s="1094">
        <f>J11*K11*L11</f>
        <v>1.099E-2</v>
      </c>
      <c r="F11" s="839" t="s">
        <v>43</v>
      </c>
      <c r="G11" s="839"/>
      <c r="H11" s="267"/>
      <c r="I11" s="974" t="s">
        <v>485</v>
      </c>
      <c r="J11" s="268">
        <f>(35*40*10^(-6))</f>
        <v>1.4E-3</v>
      </c>
      <c r="K11" s="269">
        <v>1E-3</v>
      </c>
      <c r="L11" s="972">
        <v>7850</v>
      </c>
      <c r="M11" s="270">
        <v>1</v>
      </c>
      <c r="N11" s="173">
        <f>D11*E11</f>
        <v>2.4727499999999999E-2</v>
      </c>
      <c r="O11" s="123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80">
        <f>N11*M11</f>
        <v>2.4727499999999999E-2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87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15"/>
      <c r="K14" s="115"/>
      <c r="L14" s="115"/>
      <c r="M14" s="115"/>
      <c r="N14" s="115"/>
      <c r="O14" s="107"/>
    </row>
    <row r="15" spans="1:15" s="124" customFormat="1" ht="28.9" x14ac:dyDescent="0.3">
      <c r="A15" s="1081">
        <v>10</v>
      </c>
      <c r="B15" s="1082" t="s">
        <v>111</v>
      </c>
      <c r="C15" s="1082" t="s">
        <v>170</v>
      </c>
      <c r="D15" s="251">
        <v>1.3</v>
      </c>
      <c r="E15" s="1081" t="s">
        <v>24</v>
      </c>
      <c r="F15" s="1081">
        <v>1</v>
      </c>
      <c r="G15" s="1081" t="s">
        <v>173</v>
      </c>
      <c r="H15" s="1081">
        <v>0.5</v>
      </c>
      <c r="I15" s="173">
        <f>IF(H15="",D15*F15,D15*F15*H15)</f>
        <v>0.65</v>
      </c>
      <c r="J15" s="122"/>
      <c r="K15" s="122"/>
      <c r="L15" s="122"/>
      <c r="M15" s="122"/>
      <c r="N15" s="122"/>
      <c r="O15" s="123"/>
    </row>
    <row r="16" spans="1:15" ht="14.45" x14ac:dyDescent="0.3">
      <c r="A16" s="1081">
        <v>20</v>
      </c>
      <c r="B16" s="1082" t="s">
        <v>92</v>
      </c>
      <c r="C16" s="1082"/>
      <c r="D16" s="251">
        <v>0.01</v>
      </c>
      <c r="E16" s="1081" t="s">
        <v>76</v>
      </c>
      <c r="F16" s="1081">
        <v>16.100000000000001</v>
      </c>
      <c r="G16" s="187"/>
      <c r="H16" s="1102">
        <v>1</v>
      </c>
      <c r="I16" s="173">
        <f>F16*D16</f>
        <v>0.161</v>
      </c>
      <c r="J16" s="105"/>
      <c r="K16" s="105"/>
      <c r="L16" s="105"/>
      <c r="M16" s="105"/>
      <c r="N16" s="105"/>
      <c r="O16" s="107"/>
    </row>
    <row r="17" spans="1:15" ht="14.45" x14ac:dyDescent="0.3">
      <c r="A17" s="1081">
        <v>30</v>
      </c>
      <c r="B17" s="1082" t="s">
        <v>91</v>
      </c>
      <c r="C17" s="1082"/>
      <c r="D17" s="266">
        <v>0.25</v>
      </c>
      <c r="E17" s="1081" t="s">
        <v>90</v>
      </c>
      <c r="F17" s="1081">
        <v>2</v>
      </c>
      <c r="G17" s="1081"/>
      <c r="H17" s="1081">
        <v>1</v>
      </c>
      <c r="I17" s="173">
        <f>F17*D17</f>
        <v>0.5</v>
      </c>
      <c r="J17" s="115"/>
      <c r="K17" s="115"/>
      <c r="L17" s="115"/>
      <c r="M17" s="115"/>
      <c r="N17" s="115"/>
      <c r="O17" s="107"/>
    </row>
    <row r="18" spans="1:15" ht="14.45" x14ac:dyDescent="0.3">
      <c r="A18" s="116"/>
      <c r="B18" s="105"/>
      <c r="C18" s="105"/>
      <c r="D18" s="105"/>
      <c r="E18" s="105"/>
      <c r="F18" s="105"/>
      <c r="G18" s="105"/>
      <c r="H18" s="359" t="s">
        <v>20</v>
      </c>
      <c r="I18" s="380">
        <f>SUM(I15:I16)</f>
        <v>0.81100000000000005</v>
      </c>
      <c r="J18" s="105"/>
      <c r="K18" s="105"/>
      <c r="L18" s="105"/>
      <c r="M18" s="105"/>
      <c r="N18" s="105"/>
      <c r="O18" s="107"/>
    </row>
    <row r="19" spans="1:15" thickBot="1" x14ac:dyDescent="0.35">
      <c r="A19" s="118"/>
      <c r="B19" s="119"/>
      <c r="C19" s="119"/>
      <c r="D19" s="119"/>
      <c r="E19" s="119"/>
      <c r="F19" s="119"/>
      <c r="G19" s="119"/>
      <c r="H19" s="119"/>
      <c r="I19" s="119"/>
      <c r="J19" s="119"/>
      <c r="K19" s="119"/>
      <c r="L19" s="119"/>
      <c r="M19" s="119"/>
      <c r="N19" s="119"/>
      <c r="O19" s="120"/>
    </row>
  </sheetData>
  <hyperlinks>
    <hyperlink ref="E3" location="dSU_10004" display="Drawing"/>
    <hyperlink ref="B4" location="SU_A1000" display="SU_A1000"/>
    <hyperlink ref="G2" location="SU_A1000_BOM" display="Back to BOM"/>
  </hyperlinks>
  <pageMargins left="0.31496062992125984" right="0.31496062992125984" top="0.31496062992125984" bottom="0.39370078740157483" header="0.51181102362204722" footer="0.31496062992125984"/>
  <pageSetup paperSize="9" scale="91" firstPageNumber="0" fitToHeight="99" orientation="landscape" horizontalDpi="1200" verticalDpi="1200" r:id="rId1"/>
  <rowBreaks count="2" manualBreakCount="2">
    <brk id="19" max="16383" man="1"/>
    <brk id="53" max="16383" man="1"/>
  </row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60" t="s">
        <v>489</v>
      </c>
    </row>
  </sheetData>
  <hyperlinks>
    <hyperlink ref="B1" location="SU_10004" display="SU_10004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28515625" style="103" bestFit="1" customWidth="1"/>
    <col min="2" max="2" width="19.140625" style="103" customWidth="1"/>
    <col min="3" max="3" width="9.140625" style="103"/>
    <col min="4" max="6" width="9.28515625" style="103" bestFit="1" customWidth="1"/>
    <col min="7" max="7" width="11.5703125" style="103" customWidth="1"/>
    <col min="8" max="8" width="12.7109375" style="103" bestFit="1" customWidth="1"/>
    <col min="9" max="9" width="15.42578125" style="103" customWidth="1"/>
    <col min="10" max="13" width="9.28515625" style="103" bestFit="1" customWidth="1"/>
    <col min="14" max="14" width="12.7109375" style="103" bestFit="1" customWidth="1"/>
    <col min="15" max="15" width="3.140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94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94" t="s">
        <v>18</v>
      </c>
      <c r="N2" s="46">
        <f>SU_10005_m+SU_10005_p</f>
        <v>0.42691833333333334</v>
      </c>
      <c r="O2" s="107"/>
    </row>
    <row r="3" spans="1:15" ht="14.45" x14ac:dyDescent="0.3">
      <c r="A3" s="394" t="s">
        <v>5</v>
      </c>
      <c r="B3" s="104" t="str">
        <f>'SU A1000'!B3</f>
        <v>Wheels &amp; Tires</v>
      </c>
      <c r="C3" s="105"/>
      <c r="D3" s="394" t="s">
        <v>8</v>
      </c>
      <c r="E3" s="121" t="s">
        <v>84</v>
      </c>
      <c r="F3" s="105"/>
      <c r="G3" s="105"/>
      <c r="H3" s="105"/>
      <c r="I3" s="105"/>
      <c r="J3" s="105"/>
      <c r="K3" s="105"/>
      <c r="L3" s="105"/>
      <c r="M3" s="394" t="s">
        <v>6</v>
      </c>
      <c r="N3" s="47">
        <v>15</v>
      </c>
      <c r="O3" s="107"/>
    </row>
    <row r="4" spans="1:15" ht="14.45" x14ac:dyDescent="0.3">
      <c r="A4" s="394" t="s">
        <v>7</v>
      </c>
      <c r="B4" s="184" t="str">
        <f>'SU A1000'!B4</f>
        <v>Front Uprights</v>
      </c>
      <c r="C4" s="105"/>
      <c r="D4" s="394" t="s">
        <v>10</v>
      </c>
      <c r="E4" s="105"/>
      <c r="F4" s="105"/>
      <c r="G4" s="105"/>
      <c r="H4" s="105"/>
      <c r="I4" s="105"/>
      <c r="J4" s="395" t="s">
        <v>8</v>
      </c>
      <c r="K4" s="105"/>
      <c r="L4" s="105"/>
      <c r="M4" s="105"/>
      <c r="N4" s="105"/>
      <c r="O4" s="107"/>
    </row>
    <row r="5" spans="1:15" ht="14.45" x14ac:dyDescent="0.3">
      <c r="A5" s="394" t="s">
        <v>17</v>
      </c>
      <c r="B5" s="108" t="s">
        <v>453</v>
      </c>
      <c r="C5" s="105"/>
      <c r="D5" s="394" t="s">
        <v>14</v>
      </c>
      <c r="E5" s="105"/>
      <c r="F5" s="105"/>
      <c r="G5" s="105"/>
      <c r="H5" s="105"/>
      <c r="I5" s="105"/>
      <c r="J5" s="395" t="s">
        <v>10</v>
      </c>
      <c r="K5" s="105"/>
      <c r="L5" s="105"/>
      <c r="M5" s="394" t="s">
        <v>11</v>
      </c>
      <c r="N5" s="46">
        <f>N3*N2</f>
        <v>6.4037750000000004</v>
      </c>
      <c r="O5" s="107"/>
    </row>
    <row r="6" spans="1:15" ht="14.45" x14ac:dyDescent="0.3">
      <c r="A6" s="394" t="s">
        <v>9</v>
      </c>
      <c r="B6" s="109" t="s">
        <v>492</v>
      </c>
      <c r="C6" s="105"/>
      <c r="D6" s="105"/>
      <c r="E6" s="105"/>
      <c r="F6" s="105"/>
      <c r="G6" s="105"/>
      <c r="H6" s="105"/>
      <c r="I6" s="105"/>
      <c r="J6" s="395" t="s">
        <v>14</v>
      </c>
      <c r="K6" s="105"/>
      <c r="L6" s="105"/>
      <c r="M6" s="105"/>
      <c r="N6" s="105"/>
      <c r="O6" s="107"/>
    </row>
    <row r="7" spans="1:15" ht="14.45" x14ac:dyDescent="0.3">
      <c r="A7" s="394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94" t="s">
        <v>15</v>
      </c>
      <c r="B8" s="104" t="s">
        <v>491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91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07"/>
    </row>
    <row r="11" spans="1:15" s="113" customFormat="1" ht="28.9" x14ac:dyDescent="0.3">
      <c r="A11" s="976">
        <v>10</v>
      </c>
      <c r="B11" s="258" t="s">
        <v>110</v>
      </c>
      <c r="C11" s="1081"/>
      <c r="D11" s="251">
        <v>2.25</v>
      </c>
      <c r="E11" s="1094">
        <f>J11*K11*L11</f>
        <v>2.826E-2</v>
      </c>
      <c r="F11" s="839" t="s">
        <v>43</v>
      </c>
      <c r="G11" s="839"/>
      <c r="H11" s="267"/>
      <c r="I11" s="974" t="s">
        <v>490</v>
      </c>
      <c r="J11" s="268">
        <f>0.08*0.045</f>
        <v>3.5999999999999999E-3</v>
      </c>
      <c r="K11" s="269">
        <v>1E-3</v>
      </c>
      <c r="L11" s="972">
        <v>7850</v>
      </c>
      <c r="M11" s="270">
        <v>1</v>
      </c>
      <c r="N11" s="173">
        <f>D11*E11</f>
        <v>6.3585000000000003E-2</v>
      </c>
      <c r="O11" s="112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80">
        <f>N11*M11</f>
        <v>6.3585000000000003E-2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87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15"/>
      <c r="K14" s="115"/>
      <c r="L14" s="115"/>
      <c r="M14" s="115"/>
      <c r="N14" s="115"/>
      <c r="O14" s="107"/>
    </row>
    <row r="15" spans="1:15" s="124" customFormat="1" ht="28.9" x14ac:dyDescent="0.3">
      <c r="A15" s="1081">
        <v>10</v>
      </c>
      <c r="B15" s="1082" t="s">
        <v>111</v>
      </c>
      <c r="C15" s="1082" t="s">
        <v>170</v>
      </c>
      <c r="D15" s="251">
        <v>1.3</v>
      </c>
      <c r="E15" s="1081" t="s">
        <v>24</v>
      </c>
      <c r="F15" s="1081">
        <v>1</v>
      </c>
      <c r="G15" s="1081" t="s">
        <v>173</v>
      </c>
      <c r="H15" s="1081">
        <f>1/30</f>
        <v>3.3333333333333333E-2</v>
      </c>
      <c r="I15" s="173">
        <f>IF(H15="",D15*F15,D15*F15*H15)</f>
        <v>4.3333333333333335E-2</v>
      </c>
      <c r="J15" s="122"/>
      <c r="K15" s="122"/>
      <c r="L15" s="122"/>
      <c r="M15" s="122"/>
      <c r="N15" s="122"/>
      <c r="O15" s="123"/>
    </row>
    <row r="16" spans="1:15" ht="14.45" x14ac:dyDescent="0.3">
      <c r="A16" s="1081">
        <v>20</v>
      </c>
      <c r="B16" s="1082" t="s">
        <v>92</v>
      </c>
      <c r="C16" s="1082"/>
      <c r="D16" s="251">
        <v>0.01</v>
      </c>
      <c r="E16" s="1081" t="s">
        <v>76</v>
      </c>
      <c r="F16" s="1081">
        <v>32</v>
      </c>
      <c r="G16" s="1081"/>
      <c r="H16" s="1081">
        <v>1</v>
      </c>
      <c r="I16" s="173">
        <f>F16*D16</f>
        <v>0.32</v>
      </c>
      <c r="J16" s="105"/>
      <c r="K16" s="105"/>
      <c r="L16" s="105"/>
      <c r="M16" s="105"/>
      <c r="N16" s="105"/>
      <c r="O16" s="107"/>
    </row>
    <row r="17" spans="1:15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80">
        <f>SUM(I15:I16)</f>
        <v>0.36333333333333334</v>
      </c>
      <c r="J17" s="115"/>
      <c r="K17" s="115"/>
      <c r="L17" s="115"/>
      <c r="M17" s="115"/>
      <c r="N17" s="115"/>
      <c r="O17" s="107"/>
    </row>
    <row r="18" spans="1:15" ht="14.45" x14ac:dyDescent="0.3">
      <c r="A18" s="116"/>
      <c r="B18" s="105"/>
      <c r="C18" s="105"/>
      <c r="D18" s="105"/>
      <c r="E18" s="105"/>
      <c r="F18" s="105"/>
      <c r="G18" s="105"/>
      <c r="H18" s="105"/>
      <c r="I18" s="129"/>
      <c r="J18" s="105"/>
      <c r="K18" s="105"/>
      <c r="L18" s="105"/>
      <c r="M18" s="105"/>
      <c r="N18" s="105"/>
      <c r="O18" s="107"/>
    </row>
    <row r="19" spans="1:15" thickBot="1" x14ac:dyDescent="0.35">
      <c r="A19" s="118"/>
      <c r="B19" s="119"/>
      <c r="C19" s="119"/>
      <c r="D19" s="119"/>
      <c r="E19" s="119"/>
      <c r="F19" s="119"/>
      <c r="G19" s="119"/>
      <c r="H19" s="119"/>
      <c r="I19" s="119"/>
      <c r="J19" s="119"/>
      <c r="K19" s="119"/>
      <c r="L19" s="119"/>
      <c r="M19" s="119"/>
      <c r="N19" s="119"/>
      <c r="O19" s="120"/>
    </row>
  </sheetData>
  <hyperlinks>
    <hyperlink ref="E3" location="dSU_10005" display="Drawing"/>
    <hyperlink ref="B4" location="SU_A1000" display="SU_A1000"/>
    <hyperlink ref="G2" location="SU_A1000_BOM" display="Back to BOM"/>
  </hyperlinks>
  <pageMargins left="0.31496062992125984" right="0.31496062992125984" top="0.31496062992125984" bottom="0.39370078740157483" header="0.51181102362204722" footer="0.31496062992125984"/>
  <pageSetup paperSize="9" scale="89" firstPageNumber="0" fitToHeight="99" orientation="landscape" horizontalDpi="1200" verticalDpi="1200" r:id="rId1"/>
  <rowBreaks count="2" manualBreakCount="2">
    <brk id="19" max="16383" man="1"/>
    <brk id="53" max="1638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5" style="103" customWidth="1"/>
    <col min="2" max="16384" width="11.5703125" style="103"/>
  </cols>
  <sheetData>
    <row r="1" spans="1:2" x14ac:dyDescent="0.3">
      <c r="A1" s="103" t="s">
        <v>89</v>
      </c>
      <c r="B1" s="60" t="str">
        <f>SU_01006</f>
        <v>SU_01006</v>
      </c>
    </row>
  </sheetData>
  <hyperlinks>
    <hyperlink ref="B1" location="SU_01006" display="SU_01006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121" t="s">
        <v>493</v>
      </c>
    </row>
  </sheetData>
  <hyperlinks>
    <hyperlink ref="B1" location="SU_10005" display="SU_10005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45"/>
  <sheetViews>
    <sheetView zoomScaleNormal="100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03"/>
    <col min="2" max="2" width="25.7109375" style="103" customWidth="1"/>
    <col min="3" max="3" width="62.140625" style="103" customWidth="1"/>
    <col min="4" max="14" width="9.140625" style="103"/>
    <col min="15" max="15" width="5.28515625" style="103" customWidth="1"/>
    <col min="16" max="16384" width="9.1406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1078" t="s">
        <v>0</v>
      </c>
      <c r="B2" s="104" t="s">
        <v>1</v>
      </c>
      <c r="C2" s="105"/>
      <c r="D2" s="105"/>
      <c r="E2" s="58" t="s">
        <v>2</v>
      </c>
      <c r="F2" s="105"/>
      <c r="G2" s="105"/>
      <c r="H2" s="105"/>
      <c r="I2" s="105"/>
      <c r="J2" s="1077" t="s">
        <v>3</v>
      </c>
      <c r="K2" s="106">
        <v>81</v>
      </c>
      <c r="L2" s="105"/>
      <c r="M2" s="1077" t="s">
        <v>4</v>
      </c>
      <c r="N2" s="59">
        <f>E14+I30+J42</f>
        <v>152.31883253564553</v>
      </c>
      <c r="O2" s="128"/>
    </row>
    <row r="3" spans="1:15" ht="14.45" x14ac:dyDescent="0.3">
      <c r="A3" s="1078" t="s">
        <v>5</v>
      </c>
      <c r="B3" s="104" t="s">
        <v>107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1077" t="s">
        <v>6</v>
      </c>
      <c r="N3" s="47">
        <v>2</v>
      </c>
      <c r="O3" s="128"/>
    </row>
    <row r="4" spans="1:15" ht="14.45" x14ac:dyDescent="0.3">
      <c r="A4" s="1078" t="s">
        <v>7</v>
      </c>
      <c r="B4" s="129" t="s">
        <v>499</v>
      </c>
      <c r="C4" s="105"/>
      <c r="D4" s="105"/>
      <c r="E4" s="105"/>
      <c r="F4" s="105"/>
      <c r="G4" s="105"/>
      <c r="H4" s="105"/>
      <c r="I4" s="105"/>
      <c r="J4" s="1090" t="s">
        <v>8</v>
      </c>
      <c r="K4" s="105"/>
      <c r="L4" s="105"/>
      <c r="M4" s="105"/>
      <c r="N4" s="105"/>
      <c r="O4" s="128"/>
    </row>
    <row r="5" spans="1:15" ht="14.45" x14ac:dyDescent="0.3">
      <c r="A5" s="1078" t="s">
        <v>9</v>
      </c>
      <c r="B5" s="108" t="s">
        <v>498</v>
      </c>
      <c r="C5" s="105"/>
      <c r="D5" s="105"/>
      <c r="E5" s="105"/>
      <c r="F5" s="105"/>
      <c r="G5" s="105"/>
      <c r="H5" s="105"/>
      <c r="I5" s="105"/>
      <c r="J5" s="1090" t="s">
        <v>10</v>
      </c>
      <c r="K5" s="105"/>
      <c r="L5" s="105"/>
      <c r="M5" s="1077" t="s">
        <v>11</v>
      </c>
      <c r="N5" s="46">
        <f>N2*N3</f>
        <v>304.63766507129105</v>
      </c>
      <c r="O5" s="128"/>
    </row>
    <row r="6" spans="1:15" ht="14.45" x14ac:dyDescent="0.3">
      <c r="A6" s="1078" t="s">
        <v>12</v>
      </c>
      <c r="B6" s="104" t="s">
        <v>13</v>
      </c>
      <c r="C6" s="105"/>
      <c r="D6" s="105"/>
      <c r="E6" s="105"/>
      <c r="F6" s="105"/>
      <c r="G6" s="105"/>
      <c r="H6" s="105"/>
      <c r="I6" s="105"/>
      <c r="J6" s="1090" t="s">
        <v>14</v>
      </c>
      <c r="K6" s="105"/>
      <c r="L6" s="105"/>
      <c r="M6" s="105"/>
      <c r="N6" s="105"/>
      <c r="O6" s="128"/>
    </row>
    <row r="7" spans="1:15" ht="14.45" x14ac:dyDescent="0.3">
      <c r="A7" s="1078" t="s">
        <v>15</v>
      </c>
      <c r="B7" s="104" t="s">
        <v>457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28"/>
    </row>
    <row r="8" spans="1:15" ht="14.45" x14ac:dyDescent="0.3">
      <c r="A8" s="130"/>
      <c r="B8" s="105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28"/>
    </row>
    <row r="9" spans="1:15" ht="14.45" x14ac:dyDescent="0.3">
      <c r="A9" s="1078" t="s">
        <v>16</v>
      </c>
      <c r="B9" s="1077" t="s">
        <v>17</v>
      </c>
      <c r="C9" s="1077" t="s">
        <v>18</v>
      </c>
      <c r="D9" s="1077" t="s">
        <v>19</v>
      </c>
      <c r="E9" s="1077" t="s">
        <v>20</v>
      </c>
      <c r="F9" s="105"/>
      <c r="G9" s="105"/>
      <c r="H9" s="105"/>
      <c r="I9" s="105"/>
      <c r="J9" s="105"/>
      <c r="K9" s="105"/>
      <c r="L9" s="105"/>
      <c r="M9" s="105"/>
      <c r="N9" s="105"/>
      <c r="O9" s="128"/>
    </row>
    <row r="10" spans="1:15" ht="14.45" x14ac:dyDescent="0.3">
      <c r="A10" s="133">
        <v>10</v>
      </c>
      <c r="B10" s="57" t="str">
        <f>'SU 11001'!B5</f>
        <v>Rear Upright</v>
      </c>
      <c r="C10" s="46">
        <f>'SU 11001'!N2</f>
        <v>106.51997000000001</v>
      </c>
      <c r="D10" s="246">
        <f>'SU 11001'!N3</f>
        <v>1</v>
      </c>
      <c r="E10" s="46">
        <f>C10*D10</f>
        <v>106.51997000000001</v>
      </c>
      <c r="F10" s="105"/>
      <c r="G10" s="105"/>
      <c r="H10" s="105"/>
      <c r="I10" s="105"/>
      <c r="J10" s="105"/>
      <c r="K10" s="105"/>
      <c r="L10" s="105"/>
      <c r="M10" s="105"/>
      <c r="N10" s="105"/>
      <c r="O10" s="128"/>
    </row>
    <row r="11" spans="1:15" ht="14.45" x14ac:dyDescent="0.3">
      <c r="A11" s="133">
        <v>20</v>
      </c>
      <c r="B11" s="58" t="s">
        <v>455</v>
      </c>
      <c r="C11" s="46">
        <f>'SU 11002'!N2</f>
        <v>21.194420000000001</v>
      </c>
      <c r="D11" s="246">
        <f>'SU 11002'!N3</f>
        <v>1</v>
      </c>
      <c r="E11" s="46">
        <f>C11*D11</f>
        <v>21.194420000000001</v>
      </c>
      <c r="F11" s="129"/>
      <c r="G11" s="129"/>
      <c r="H11" s="129"/>
      <c r="I11" s="129"/>
      <c r="J11" s="129"/>
      <c r="K11" s="129"/>
      <c r="L11" s="129"/>
      <c r="M11" s="129"/>
      <c r="N11" s="129"/>
      <c r="O11" s="255"/>
    </row>
    <row r="12" spans="1:15" s="149" customFormat="1" ht="14.45" x14ac:dyDescent="0.3">
      <c r="A12" s="133">
        <v>30</v>
      </c>
      <c r="B12" s="57" t="s">
        <v>454</v>
      </c>
      <c r="C12" s="46">
        <f>'SU 11003'!N2</f>
        <v>0.82576020000000006</v>
      </c>
      <c r="D12" s="246">
        <f>'SU 11003'!N3</f>
        <v>1</v>
      </c>
      <c r="E12" s="46">
        <f>C12*D12</f>
        <v>0.82576020000000006</v>
      </c>
      <c r="F12" s="129"/>
      <c r="G12" s="129"/>
      <c r="H12" s="129"/>
      <c r="I12" s="129"/>
      <c r="J12" s="129"/>
      <c r="K12" s="129"/>
      <c r="L12" s="129"/>
      <c r="M12" s="129"/>
      <c r="N12" s="129"/>
      <c r="O12" s="255"/>
    </row>
    <row r="13" spans="1:15" s="149" customFormat="1" ht="14.45" x14ac:dyDescent="0.3">
      <c r="A13" s="133">
        <v>40</v>
      </c>
      <c r="B13" s="57" t="s">
        <v>453</v>
      </c>
      <c r="C13" s="46">
        <f>'SU 11004'!N2</f>
        <v>0.42454853333333331</v>
      </c>
      <c r="D13" s="246">
        <f>'SU 11004'!N3</f>
        <v>15</v>
      </c>
      <c r="E13" s="46">
        <f>C13*D13</f>
        <v>6.3682279999999993</v>
      </c>
      <c r="F13" s="129"/>
      <c r="G13" s="129"/>
      <c r="H13" s="129"/>
      <c r="I13" s="129"/>
      <c r="J13" s="129"/>
      <c r="K13" s="129"/>
      <c r="L13" s="129"/>
      <c r="M13" s="129"/>
      <c r="N13" s="129"/>
      <c r="O13" s="259"/>
    </row>
    <row r="14" spans="1:15" ht="14.45" x14ac:dyDescent="0.3">
      <c r="A14" s="130"/>
      <c r="B14" s="105"/>
      <c r="C14" s="105"/>
      <c r="D14" s="319" t="s">
        <v>20</v>
      </c>
      <c r="E14" s="1074">
        <f>SUM(E10:E13)</f>
        <v>134.90837819999999</v>
      </c>
      <c r="F14" s="129"/>
      <c r="G14" s="129"/>
      <c r="H14" s="129"/>
      <c r="I14" s="129"/>
      <c r="J14" s="129"/>
      <c r="K14" s="129"/>
      <c r="L14" s="129"/>
      <c r="M14" s="129"/>
      <c r="N14" s="129"/>
      <c r="O14" s="128"/>
    </row>
    <row r="15" spans="1:15" ht="14.45" x14ac:dyDescent="0.3">
      <c r="A15" s="130"/>
      <c r="B15" s="105"/>
      <c r="C15" s="105"/>
      <c r="D15" s="105"/>
      <c r="E15" s="105"/>
      <c r="F15" s="105"/>
      <c r="G15" s="105"/>
      <c r="H15" s="105"/>
      <c r="I15" s="105"/>
      <c r="J15" s="105"/>
      <c r="K15" s="105"/>
      <c r="L15" s="105"/>
      <c r="M15" s="105"/>
      <c r="N15" s="105"/>
      <c r="O15" s="128"/>
    </row>
    <row r="16" spans="1:15" ht="14.45" x14ac:dyDescent="0.3">
      <c r="A16" s="130"/>
      <c r="B16" s="105"/>
      <c r="C16" s="105"/>
      <c r="D16" s="105"/>
      <c r="E16" s="105"/>
      <c r="F16" s="105"/>
      <c r="G16" s="105"/>
      <c r="H16" s="105"/>
      <c r="I16" s="105"/>
      <c r="J16" s="105"/>
      <c r="K16" s="105"/>
      <c r="L16" s="105"/>
      <c r="M16" s="105"/>
      <c r="N16" s="105"/>
      <c r="O16" s="128"/>
    </row>
    <row r="17" spans="1:19" ht="14.45" x14ac:dyDescent="0.3">
      <c r="A17" s="1078" t="s">
        <v>16</v>
      </c>
      <c r="B17" s="1077" t="s">
        <v>21</v>
      </c>
      <c r="C17" s="1077" t="s">
        <v>22</v>
      </c>
      <c r="D17" s="1077" t="s">
        <v>23</v>
      </c>
      <c r="E17" s="1077" t="s">
        <v>24</v>
      </c>
      <c r="F17" s="1077" t="s">
        <v>19</v>
      </c>
      <c r="G17" s="1077" t="s">
        <v>25</v>
      </c>
      <c r="H17" s="1077" t="s">
        <v>26</v>
      </c>
      <c r="I17" s="1077" t="s">
        <v>20</v>
      </c>
      <c r="J17" s="115"/>
      <c r="K17" s="115"/>
      <c r="L17" s="115"/>
      <c r="M17" s="115"/>
      <c r="N17" s="115"/>
      <c r="O17" s="132"/>
    </row>
    <row r="18" spans="1:19" s="113" customFormat="1" ht="14.45" x14ac:dyDescent="0.3">
      <c r="A18" s="1083">
        <v>10</v>
      </c>
      <c r="B18" s="1082" t="s">
        <v>452</v>
      </c>
      <c r="C18" s="1082" t="s">
        <v>451</v>
      </c>
      <c r="D18" s="265">
        <v>0.56000000000000005</v>
      </c>
      <c r="E18" s="1081" t="s">
        <v>72</v>
      </c>
      <c r="F18" s="1081">
        <v>1</v>
      </c>
      <c r="G18" s="1081"/>
      <c r="H18" s="1081">
        <v>1</v>
      </c>
      <c r="I18" s="1103">
        <f t="shared" ref="I18:I26" si="0">IF(H18="",D18*F18,D18*F18*H18)</f>
        <v>0.56000000000000005</v>
      </c>
      <c r="J18" s="105"/>
      <c r="K18" s="105"/>
      <c r="L18" s="105"/>
      <c r="M18" s="105"/>
      <c r="N18" s="105"/>
      <c r="O18" s="128"/>
    </row>
    <row r="19" spans="1:19" ht="14.45" x14ac:dyDescent="0.3">
      <c r="A19" s="1076">
        <v>20</v>
      </c>
      <c r="B19" s="1082" t="s">
        <v>102</v>
      </c>
      <c r="C19" s="1082" t="s">
        <v>449</v>
      </c>
      <c r="D19" s="266">
        <v>0.13</v>
      </c>
      <c r="E19" s="1081" t="s">
        <v>72</v>
      </c>
      <c r="F19" s="1081">
        <v>1</v>
      </c>
      <c r="G19" s="1081"/>
      <c r="H19" s="1081">
        <v>1</v>
      </c>
      <c r="I19" s="1103">
        <f t="shared" si="0"/>
        <v>0.13</v>
      </c>
      <c r="J19" s="105"/>
      <c r="K19" s="105"/>
      <c r="L19" s="105"/>
      <c r="M19" s="105"/>
      <c r="N19" s="105"/>
      <c r="O19" s="128"/>
    </row>
    <row r="20" spans="1:19" ht="14.45" x14ac:dyDescent="0.3">
      <c r="A20" s="1076">
        <v>30</v>
      </c>
      <c r="B20" s="1082" t="s">
        <v>102</v>
      </c>
      <c r="C20" s="1082" t="s">
        <v>448</v>
      </c>
      <c r="D20" s="266">
        <v>0.13</v>
      </c>
      <c r="E20" s="1081" t="s">
        <v>72</v>
      </c>
      <c r="F20" s="1081">
        <v>1</v>
      </c>
      <c r="G20" s="1081"/>
      <c r="H20" s="1081">
        <v>1</v>
      </c>
      <c r="I20" s="1103">
        <f t="shared" si="0"/>
        <v>0.13</v>
      </c>
      <c r="J20" s="129"/>
      <c r="K20" s="129"/>
      <c r="L20" s="129"/>
      <c r="M20" s="129"/>
      <c r="N20" s="129"/>
      <c r="O20" s="259"/>
    </row>
    <row r="21" spans="1:19" s="124" customFormat="1" ht="14.45" x14ac:dyDescent="0.3">
      <c r="A21" s="1083">
        <v>40</v>
      </c>
      <c r="B21" s="1082" t="s">
        <v>28</v>
      </c>
      <c r="C21" s="1082" t="s">
        <v>497</v>
      </c>
      <c r="D21" s="266">
        <v>0.75</v>
      </c>
      <c r="E21" s="1081" t="s">
        <v>72</v>
      </c>
      <c r="F21" s="1081">
        <v>3</v>
      </c>
      <c r="G21" s="1081"/>
      <c r="H21" s="1081">
        <v>1</v>
      </c>
      <c r="I21" s="1103">
        <f t="shared" si="0"/>
        <v>2.25</v>
      </c>
      <c r="J21" s="129"/>
      <c r="K21" s="129"/>
      <c r="L21" s="129"/>
      <c r="M21" s="129"/>
      <c r="N21" s="129"/>
      <c r="O21" s="132"/>
    </row>
    <row r="22" spans="1:19" ht="14.45" x14ac:dyDescent="0.3">
      <c r="A22" s="1076">
        <v>50</v>
      </c>
      <c r="B22" s="1085" t="s">
        <v>29</v>
      </c>
      <c r="C22" s="1082" t="s">
        <v>497</v>
      </c>
      <c r="D22" s="1084">
        <v>0.25</v>
      </c>
      <c r="E22" s="594" t="s">
        <v>24</v>
      </c>
      <c r="F22" s="594">
        <v>3</v>
      </c>
      <c r="G22" s="1081"/>
      <c r="H22" s="1081">
        <v>1</v>
      </c>
      <c r="I22" s="1103">
        <f t="shared" si="0"/>
        <v>0.75</v>
      </c>
      <c r="J22" s="129"/>
      <c r="K22" s="129"/>
      <c r="L22" s="129"/>
      <c r="M22" s="129"/>
      <c r="N22" s="129"/>
      <c r="O22" s="132"/>
    </row>
    <row r="23" spans="1:19" ht="14.45" x14ac:dyDescent="0.3">
      <c r="A23" s="1076">
        <v>60</v>
      </c>
      <c r="B23" s="1082" t="s">
        <v>102</v>
      </c>
      <c r="C23" s="1082" t="s">
        <v>446</v>
      </c>
      <c r="D23" s="266">
        <v>0.13</v>
      </c>
      <c r="E23" s="1081" t="s">
        <v>445</v>
      </c>
      <c r="F23" s="1081">
        <v>1</v>
      </c>
      <c r="G23" s="1081"/>
      <c r="H23" s="1081">
        <v>1</v>
      </c>
      <c r="I23" s="1103">
        <f t="shared" si="0"/>
        <v>0.13</v>
      </c>
      <c r="J23" s="129"/>
      <c r="K23" s="129"/>
      <c r="L23" s="129"/>
      <c r="M23" s="129"/>
      <c r="N23" s="129"/>
      <c r="O23" s="259"/>
    </row>
    <row r="24" spans="1:19" s="124" customFormat="1" x14ac:dyDescent="0.25">
      <c r="A24" s="1083">
        <v>70</v>
      </c>
      <c r="B24" s="1082" t="s">
        <v>28</v>
      </c>
      <c r="C24" s="1082" t="s">
        <v>496</v>
      </c>
      <c r="D24" s="266">
        <v>0.75</v>
      </c>
      <c r="E24" s="1081" t="s">
        <v>72</v>
      </c>
      <c r="F24" s="1081">
        <v>1</v>
      </c>
      <c r="G24" s="1081"/>
      <c r="H24" s="1081">
        <v>1</v>
      </c>
      <c r="I24" s="1103">
        <f t="shared" si="0"/>
        <v>0.75</v>
      </c>
      <c r="J24" s="129"/>
      <c r="K24" s="129"/>
      <c r="L24" s="129"/>
      <c r="M24" s="129"/>
      <c r="N24" s="129"/>
      <c r="O24" s="132"/>
    </row>
    <row r="25" spans="1:19" x14ac:dyDescent="0.25">
      <c r="A25" s="1076">
        <v>80</v>
      </c>
      <c r="B25" s="1085" t="s">
        <v>29</v>
      </c>
      <c r="C25" s="1082" t="s">
        <v>496</v>
      </c>
      <c r="D25" s="1084">
        <v>0.25</v>
      </c>
      <c r="E25" s="594" t="s">
        <v>24</v>
      </c>
      <c r="F25" s="594">
        <v>1</v>
      </c>
      <c r="G25" s="1081"/>
      <c r="H25" s="1081">
        <v>1</v>
      </c>
      <c r="I25" s="1103">
        <f t="shared" si="0"/>
        <v>0.25</v>
      </c>
      <c r="J25" s="129"/>
      <c r="K25" s="129"/>
      <c r="L25" s="129"/>
      <c r="M25" s="129"/>
      <c r="N25" s="129"/>
      <c r="O25" s="132"/>
    </row>
    <row r="26" spans="1:19" ht="30" x14ac:dyDescent="0.25">
      <c r="A26" s="1083">
        <v>90</v>
      </c>
      <c r="B26" s="1082" t="s">
        <v>168</v>
      </c>
      <c r="C26" s="1082" t="s">
        <v>444</v>
      </c>
      <c r="D26" s="265">
        <v>0.63</v>
      </c>
      <c r="E26" s="1081" t="s">
        <v>72</v>
      </c>
      <c r="F26" s="1081">
        <v>1</v>
      </c>
      <c r="G26" s="1081"/>
      <c r="H26" s="1081">
        <v>1</v>
      </c>
      <c r="I26" s="1103">
        <f t="shared" si="0"/>
        <v>0.63</v>
      </c>
      <c r="J26" s="105"/>
      <c r="K26" s="105"/>
      <c r="L26" s="105"/>
      <c r="M26" s="105"/>
      <c r="N26" s="105"/>
      <c r="O26" s="128"/>
    </row>
    <row r="27" spans="1:19" s="149" customFormat="1" x14ac:dyDescent="0.25">
      <c r="A27" s="1076">
        <v>100</v>
      </c>
      <c r="B27" s="1082" t="s">
        <v>28</v>
      </c>
      <c r="C27" s="1082" t="s">
        <v>495</v>
      </c>
      <c r="D27" s="266">
        <v>0.75</v>
      </c>
      <c r="E27" s="1081" t="s">
        <v>24</v>
      </c>
      <c r="F27" s="1081">
        <v>2</v>
      </c>
      <c r="G27" s="1081"/>
      <c r="H27" s="1081">
        <v>1</v>
      </c>
      <c r="I27" s="266">
        <f>D27*F27*H27</f>
        <v>1.5</v>
      </c>
      <c r="J27" s="254"/>
      <c r="K27" s="254"/>
      <c r="L27" s="254"/>
      <c r="M27" s="254"/>
      <c r="N27" s="254"/>
      <c r="O27" s="1079"/>
      <c r="P27" s="254"/>
      <c r="Q27" s="254"/>
      <c r="R27" s="254"/>
      <c r="S27" s="254"/>
    </row>
    <row r="28" spans="1:19" s="124" customFormat="1" x14ac:dyDescent="0.25">
      <c r="A28" s="1076">
        <v>110</v>
      </c>
      <c r="B28" s="1082" t="s">
        <v>29</v>
      </c>
      <c r="C28" s="1082" t="s">
        <v>495</v>
      </c>
      <c r="D28" s="266">
        <v>0.25</v>
      </c>
      <c r="E28" s="1081" t="s">
        <v>24</v>
      </c>
      <c r="F28" s="1081">
        <v>2</v>
      </c>
      <c r="G28" s="1081"/>
      <c r="H28" s="1081">
        <v>1</v>
      </c>
      <c r="I28" s="266">
        <f>D28*F28*H28</f>
        <v>0.5</v>
      </c>
      <c r="J28" s="254"/>
      <c r="K28" s="254"/>
      <c r="L28" s="254"/>
      <c r="M28" s="254"/>
      <c r="N28" s="254"/>
      <c r="O28" s="1079"/>
      <c r="P28" s="254"/>
      <c r="Q28" s="254"/>
      <c r="R28" s="254"/>
      <c r="S28" s="254"/>
    </row>
    <row r="29" spans="1:19" s="149" customFormat="1" ht="45" x14ac:dyDescent="0.25">
      <c r="A29" s="1076">
        <v>120</v>
      </c>
      <c r="B29" s="177" t="s">
        <v>442</v>
      </c>
      <c r="C29" s="1081" t="s">
        <v>441</v>
      </c>
      <c r="D29" s="1080">
        <v>8.75</v>
      </c>
      <c r="E29" s="1081" t="s">
        <v>24</v>
      </c>
      <c r="F29" s="1081">
        <v>1</v>
      </c>
      <c r="G29" s="1081"/>
      <c r="H29" s="1081">
        <v>1</v>
      </c>
      <c r="I29" s="1080">
        <f>D29*F29*H29</f>
        <v>8.75</v>
      </c>
      <c r="J29" s="254"/>
      <c r="K29" s="254"/>
      <c r="L29" s="254"/>
      <c r="M29" s="254"/>
      <c r="N29" s="254"/>
      <c r="O29" s="1079"/>
      <c r="P29" s="254"/>
      <c r="Q29" s="254"/>
      <c r="R29" s="254"/>
      <c r="S29" s="254"/>
    </row>
    <row r="30" spans="1:19" x14ac:dyDescent="0.25">
      <c r="A30" s="136"/>
      <c r="B30" s="115"/>
      <c r="C30" s="115"/>
      <c r="D30" s="115"/>
      <c r="E30" s="115"/>
      <c r="F30" s="115"/>
      <c r="G30" s="115"/>
      <c r="H30" s="319" t="s">
        <v>20</v>
      </c>
      <c r="I30" s="1074">
        <f>SUM(I18:I29)</f>
        <v>16.329999999999998</v>
      </c>
      <c r="J30" s="105"/>
      <c r="K30" s="105"/>
      <c r="L30" s="105"/>
      <c r="M30" s="105"/>
      <c r="N30" s="105"/>
      <c r="O30" s="128"/>
      <c r="P30" s="149"/>
      <c r="Q30" s="149"/>
      <c r="R30" s="149"/>
      <c r="S30" s="149"/>
    </row>
    <row r="31" spans="1:19" x14ac:dyDescent="0.25">
      <c r="A31" s="130"/>
      <c r="B31" s="105"/>
      <c r="C31" s="105"/>
      <c r="D31" s="105"/>
      <c r="E31" s="105"/>
      <c r="F31" s="105"/>
      <c r="G31" s="105"/>
      <c r="H31" s="105"/>
      <c r="I31" s="105"/>
      <c r="J31" s="105"/>
      <c r="K31" s="105"/>
      <c r="L31" s="105"/>
      <c r="M31" s="105"/>
      <c r="N31" s="105"/>
      <c r="O31" s="128"/>
      <c r="P31" s="124"/>
      <c r="Q31" s="124"/>
      <c r="R31" s="124"/>
      <c r="S31" s="124"/>
    </row>
    <row r="32" spans="1:19" x14ac:dyDescent="0.25">
      <c r="A32" s="1078" t="s">
        <v>16</v>
      </c>
      <c r="B32" s="1077" t="s">
        <v>30</v>
      </c>
      <c r="C32" s="1077" t="s">
        <v>22</v>
      </c>
      <c r="D32" s="1077" t="s">
        <v>23</v>
      </c>
      <c r="E32" s="1077" t="s">
        <v>31</v>
      </c>
      <c r="F32" s="1077" t="s">
        <v>32</v>
      </c>
      <c r="G32" s="1077" t="s">
        <v>33</v>
      </c>
      <c r="H32" s="1077" t="s">
        <v>34</v>
      </c>
      <c r="I32" s="1077" t="s">
        <v>19</v>
      </c>
      <c r="J32" s="1077" t="s">
        <v>20</v>
      </c>
      <c r="K32" s="105"/>
      <c r="L32" s="105"/>
      <c r="M32" s="105"/>
      <c r="N32" s="105"/>
      <c r="O32" s="128"/>
      <c r="P32" s="149"/>
      <c r="Q32" s="149"/>
      <c r="R32" s="149"/>
      <c r="S32" s="149"/>
    </row>
    <row r="33" spans="1:15" x14ac:dyDescent="0.25">
      <c r="A33" s="1076">
        <v>10</v>
      </c>
      <c r="B33" s="258" t="s">
        <v>85</v>
      </c>
      <c r="C33" s="257" t="s">
        <v>440</v>
      </c>
      <c r="D33" s="1075">
        <f>0.8/105154*E33^2*G33*SQRT(G33)+(0.003*EXP(0.319*E33))</f>
        <v>8.9628250610286439E-2</v>
      </c>
      <c r="E33" s="256">
        <v>6</v>
      </c>
      <c r="F33" s="181" t="s">
        <v>35</v>
      </c>
      <c r="G33" s="256">
        <v>40</v>
      </c>
      <c r="H33" s="257" t="s">
        <v>35</v>
      </c>
      <c r="I33" s="182">
        <v>3</v>
      </c>
      <c r="J33" s="266">
        <f t="shared" ref="J33:J41" si="1">D33*I33</f>
        <v>0.2688847518308593</v>
      </c>
      <c r="K33" s="105"/>
      <c r="L33" s="105"/>
      <c r="M33" s="105"/>
      <c r="N33" s="105"/>
      <c r="O33" s="128"/>
    </row>
    <row r="34" spans="1:15" x14ac:dyDescent="0.25">
      <c r="A34" s="256">
        <v>20</v>
      </c>
      <c r="B34" s="183" t="s">
        <v>36</v>
      </c>
      <c r="C34" s="257" t="s">
        <v>440</v>
      </c>
      <c r="D34" s="1075">
        <f>(0.009*EXP(0.2*E34))</f>
        <v>2.9881052304628931E-2</v>
      </c>
      <c r="E34" s="256">
        <v>6</v>
      </c>
      <c r="F34" s="181" t="s">
        <v>35</v>
      </c>
      <c r="G34" s="256"/>
      <c r="H34" s="257"/>
      <c r="I34" s="182">
        <v>3</v>
      </c>
      <c r="J34" s="178">
        <f t="shared" si="1"/>
        <v>8.9643156913886801E-2</v>
      </c>
      <c r="K34" s="105"/>
      <c r="L34" s="105"/>
      <c r="M34" s="105"/>
      <c r="N34" s="105"/>
      <c r="O34" s="128"/>
    </row>
    <row r="35" spans="1:15" x14ac:dyDescent="0.25">
      <c r="A35" s="256">
        <v>30</v>
      </c>
      <c r="B35" s="183" t="s">
        <v>37</v>
      </c>
      <c r="C35" s="257" t="s">
        <v>440</v>
      </c>
      <c r="D35" s="1075">
        <f>0.01</f>
        <v>0.01</v>
      </c>
      <c r="E35" s="256"/>
      <c r="F35" s="181" t="s">
        <v>35</v>
      </c>
      <c r="G35" s="256"/>
      <c r="H35" s="257"/>
      <c r="I35" s="182">
        <v>6</v>
      </c>
      <c r="J35" s="178">
        <f t="shared" si="1"/>
        <v>0.06</v>
      </c>
      <c r="K35" s="105"/>
      <c r="L35" s="105"/>
      <c r="M35" s="105"/>
      <c r="N35" s="105"/>
      <c r="O35" s="128"/>
    </row>
    <row r="36" spans="1:15" x14ac:dyDescent="0.25">
      <c r="A36" s="1076">
        <v>40</v>
      </c>
      <c r="B36" s="258" t="s">
        <v>85</v>
      </c>
      <c r="C36" s="257" t="s">
        <v>494</v>
      </c>
      <c r="D36" s="1075">
        <f>0.8/105154*E36^2*G36*SQRT(G36)+(0.003*EXP(0.319*E36))</f>
        <v>1.8537324430816272E-2</v>
      </c>
      <c r="E36" s="256">
        <v>4</v>
      </c>
      <c r="F36" s="181" t="s">
        <v>35</v>
      </c>
      <c r="G36" s="256">
        <v>16</v>
      </c>
      <c r="H36" s="257" t="s">
        <v>35</v>
      </c>
      <c r="I36" s="182">
        <v>1</v>
      </c>
      <c r="J36" s="266">
        <f t="shared" si="1"/>
        <v>1.8537324430816272E-2</v>
      </c>
      <c r="K36" s="105"/>
      <c r="L36" s="105"/>
      <c r="M36" s="105"/>
      <c r="N36" s="105"/>
      <c r="O36" s="128"/>
    </row>
    <row r="37" spans="1:15" x14ac:dyDescent="0.25">
      <c r="A37" s="256">
        <v>50</v>
      </c>
      <c r="B37" s="183" t="s">
        <v>36</v>
      </c>
      <c r="C37" s="257" t="s">
        <v>494</v>
      </c>
      <c r="D37" s="1075">
        <f>(0.009*EXP(0.2*E37))</f>
        <v>2.0029868356432209E-2</v>
      </c>
      <c r="E37" s="256">
        <v>4</v>
      </c>
      <c r="F37" s="181" t="s">
        <v>35</v>
      </c>
      <c r="G37" s="256"/>
      <c r="H37" s="257"/>
      <c r="I37" s="182">
        <v>1</v>
      </c>
      <c r="J37" s="178">
        <f t="shared" si="1"/>
        <v>2.0029868356432209E-2</v>
      </c>
      <c r="K37" s="105"/>
      <c r="L37" s="105"/>
      <c r="M37" s="105"/>
      <c r="N37" s="105"/>
      <c r="O37" s="128"/>
    </row>
    <row r="38" spans="1:15" x14ac:dyDescent="0.25">
      <c r="A38" s="256">
        <v>60</v>
      </c>
      <c r="B38" s="183" t="s">
        <v>37</v>
      </c>
      <c r="C38" s="257" t="s">
        <v>494</v>
      </c>
      <c r="D38" s="1075">
        <f>0.01</f>
        <v>0.01</v>
      </c>
      <c r="E38" s="256"/>
      <c r="F38" s="181" t="s">
        <v>35</v>
      </c>
      <c r="G38" s="256"/>
      <c r="H38" s="257"/>
      <c r="I38" s="182">
        <v>2</v>
      </c>
      <c r="J38" s="178">
        <f t="shared" si="1"/>
        <v>0.02</v>
      </c>
      <c r="K38" s="105"/>
      <c r="L38" s="105"/>
      <c r="M38" s="105"/>
      <c r="N38" s="105"/>
      <c r="O38" s="128"/>
    </row>
    <row r="39" spans="1:15" x14ac:dyDescent="0.25">
      <c r="A39" s="1076">
        <v>70</v>
      </c>
      <c r="B39" s="258" t="s">
        <v>85</v>
      </c>
      <c r="C39" s="257" t="s">
        <v>440</v>
      </c>
      <c r="D39" s="1075">
        <f>0.8/105154*E39^2*G39*SQRT(G39)+(0.003*EXP(0.319*E39))</f>
        <v>0.23710232523720945</v>
      </c>
      <c r="E39" s="256">
        <v>8</v>
      </c>
      <c r="F39" s="181" t="s">
        <v>35</v>
      </c>
      <c r="G39" s="256">
        <v>55</v>
      </c>
      <c r="H39" s="257" t="s">
        <v>35</v>
      </c>
      <c r="I39" s="182">
        <v>2</v>
      </c>
      <c r="J39" s="266">
        <f t="shared" si="1"/>
        <v>0.4742046504744189</v>
      </c>
      <c r="K39" s="105"/>
      <c r="L39" s="105"/>
      <c r="M39" s="105"/>
      <c r="N39" s="105"/>
      <c r="O39" s="128"/>
    </row>
    <row r="40" spans="1:15" x14ac:dyDescent="0.25">
      <c r="A40" s="256">
        <v>80</v>
      </c>
      <c r="B40" s="183" t="s">
        <v>36</v>
      </c>
      <c r="C40" s="257" t="s">
        <v>440</v>
      </c>
      <c r="D40" s="1075">
        <f>(0.009*EXP(0.2*E40))</f>
        <v>4.4577291819556032E-2</v>
      </c>
      <c r="E40" s="256">
        <v>8</v>
      </c>
      <c r="F40" s="181" t="s">
        <v>35</v>
      </c>
      <c r="G40" s="256"/>
      <c r="H40" s="257"/>
      <c r="I40" s="182">
        <v>2</v>
      </c>
      <c r="J40" s="178">
        <f t="shared" si="1"/>
        <v>8.9154583639112064E-2</v>
      </c>
      <c r="K40" s="105"/>
      <c r="L40" s="105"/>
      <c r="M40" s="105"/>
      <c r="N40" s="105"/>
      <c r="O40" s="128"/>
    </row>
    <row r="41" spans="1:15" x14ac:dyDescent="0.25">
      <c r="A41" s="256">
        <v>90</v>
      </c>
      <c r="B41" s="183" t="s">
        <v>37</v>
      </c>
      <c r="C41" s="257" t="s">
        <v>440</v>
      </c>
      <c r="D41" s="1075">
        <f>0.01</f>
        <v>0.01</v>
      </c>
      <c r="E41" s="256"/>
      <c r="F41" s="181" t="s">
        <v>35</v>
      </c>
      <c r="G41" s="256"/>
      <c r="H41" s="257"/>
      <c r="I41" s="182">
        <v>4</v>
      </c>
      <c r="J41" s="178">
        <f t="shared" si="1"/>
        <v>0.04</v>
      </c>
      <c r="K41" s="105"/>
      <c r="L41" s="105"/>
      <c r="M41" s="105"/>
      <c r="N41" s="105"/>
      <c r="O41" s="128"/>
    </row>
    <row r="42" spans="1:15" x14ac:dyDescent="0.25">
      <c r="A42" s="136"/>
      <c r="B42" s="115"/>
      <c r="C42" s="115"/>
      <c r="D42" s="115"/>
      <c r="E42" s="115"/>
      <c r="F42" s="115"/>
      <c r="G42" s="115"/>
      <c r="H42" s="115"/>
      <c r="I42" s="319" t="s">
        <v>20</v>
      </c>
      <c r="J42" s="1074">
        <f>SUM(J33:J41)</f>
        <v>1.0804543356455256</v>
      </c>
      <c r="K42" s="105"/>
      <c r="L42" s="105"/>
      <c r="M42" s="105"/>
      <c r="N42" s="105"/>
      <c r="O42" s="128"/>
    </row>
    <row r="43" spans="1:15" x14ac:dyDescent="0.25">
      <c r="A43" s="130"/>
      <c r="B43" s="105"/>
      <c r="C43" s="105"/>
      <c r="D43" s="105"/>
      <c r="E43" s="105"/>
      <c r="F43" s="105"/>
      <c r="G43" s="105"/>
      <c r="H43" s="105"/>
      <c r="I43" s="105"/>
      <c r="J43" s="115"/>
      <c r="K43" s="105"/>
      <c r="L43" s="105"/>
      <c r="M43" s="105"/>
      <c r="N43" s="105"/>
      <c r="O43" s="128"/>
    </row>
    <row r="44" spans="1:15" ht="15.75" thickBot="1" x14ac:dyDescent="0.3">
      <c r="A44" s="138"/>
      <c r="B44" s="139"/>
      <c r="C44" s="139"/>
      <c r="D44" s="139"/>
      <c r="E44" s="139"/>
      <c r="F44" s="139"/>
      <c r="G44" s="139"/>
      <c r="H44" s="139"/>
      <c r="I44" s="139"/>
      <c r="J44" s="139"/>
      <c r="K44" s="139"/>
      <c r="L44" s="139"/>
      <c r="M44" s="139"/>
      <c r="N44" s="139"/>
      <c r="O44" s="140"/>
    </row>
    <row r="45" spans="1:15" x14ac:dyDescent="0.25">
      <c r="A45" s="105"/>
      <c r="B45" s="105"/>
      <c r="C45" s="105"/>
      <c r="D45" s="105"/>
      <c r="E45" s="105"/>
      <c r="F45" s="105"/>
      <c r="G45" s="105"/>
      <c r="H45" s="105"/>
      <c r="I45" s="105"/>
      <c r="J45" s="105"/>
      <c r="K45" s="105"/>
      <c r="L45" s="105"/>
      <c r="M45" s="105"/>
      <c r="N45" s="105"/>
    </row>
  </sheetData>
  <hyperlinks>
    <hyperlink ref="B10" location="SU_11001" display="SU_11001"/>
    <hyperlink ref="B12" location="SU_11003" display="Speed Sensor Brakcet"/>
    <hyperlink ref="B13" location="SU_11004" display="Camber adjustment shim"/>
    <hyperlink ref="B11" location="SU_11002" display="Upper Arm Bracket"/>
    <hyperlink ref="E2" location="SU_A1100_BOM" display="Back to BOM"/>
  </hyperlinks>
  <pageMargins left="0.31496062992125984" right="0.31496062992125984" top="0.31496062992125984" bottom="0.39370078740157483" header="0.51181102362204722" footer="0.31496062992125984"/>
  <pageSetup paperSize="9" scale="70" firstPageNumber="0" fitToHeight="99" orientation="landscape" horizontalDpi="1200" verticalDpi="1200"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4"/>
  <sheetViews>
    <sheetView topLeftCell="A8" zoomScaleNormal="10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19.5703125" style="103" customWidth="1"/>
    <col min="3" max="3" width="20.28515625" style="103" customWidth="1"/>
    <col min="4" max="6" width="9.140625" style="103"/>
    <col min="7" max="7" width="18.28515625" style="103" customWidth="1"/>
    <col min="8" max="8" width="9.140625" style="103"/>
    <col min="9" max="9" width="9" style="103" customWidth="1"/>
    <col min="10" max="13" width="9.140625" style="103"/>
    <col min="14" max="14" width="12.5703125" style="103" bestFit="1" customWidth="1"/>
    <col min="15" max="15" width="3.140625" style="103" customWidth="1"/>
    <col min="16" max="16384" width="9.1406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109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94" t="s">
        <v>18</v>
      </c>
      <c r="N2" s="46">
        <f>SU_11001_m+SU_11001_p</f>
        <v>106.51997000000001</v>
      </c>
      <c r="O2" s="128"/>
    </row>
    <row r="3" spans="1:15" ht="14.45" x14ac:dyDescent="0.3">
      <c r="A3" s="1097" t="s">
        <v>5</v>
      </c>
      <c r="B3" s="104" t="str">
        <f>'SU A1100 '!B3</f>
        <v>Wheels &amp; Tires</v>
      </c>
      <c r="C3" s="105"/>
      <c r="D3" s="394" t="s">
        <v>8</v>
      </c>
      <c r="E3" s="58" t="s">
        <v>84</v>
      </c>
      <c r="F3" s="105"/>
      <c r="G3" s="105"/>
      <c r="H3" s="105"/>
      <c r="I3" s="105"/>
      <c r="J3" s="105"/>
      <c r="K3" s="105"/>
      <c r="L3" s="105"/>
      <c r="M3" s="394" t="s">
        <v>6</v>
      </c>
      <c r="N3" s="47">
        <v>1</v>
      </c>
      <c r="O3" s="128"/>
    </row>
    <row r="4" spans="1:15" ht="14.45" x14ac:dyDescent="0.3">
      <c r="A4" s="1097" t="s">
        <v>7</v>
      </c>
      <c r="B4" s="184" t="str">
        <f>'SU A1100 '!B4</f>
        <v>Rear Uprights</v>
      </c>
      <c r="C4" s="105"/>
      <c r="D4" s="394" t="s">
        <v>10</v>
      </c>
      <c r="E4" s="105"/>
      <c r="F4" s="105"/>
      <c r="G4" s="105"/>
      <c r="H4" s="105"/>
      <c r="I4" s="105"/>
      <c r="J4" s="395" t="s">
        <v>8</v>
      </c>
      <c r="K4" s="105"/>
      <c r="L4" s="105"/>
      <c r="M4" s="105"/>
      <c r="N4" s="105"/>
      <c r="O4" s="128"/>
    </row>
    <row r="5" spans="1:15" ht="14.45" x14ac:dyDescent="0.3">
      <c r="A5" s="1097" t="s">
        <v>17</v>
      </c>
      <c r="B5" s="108" t="s">
        <v>507</v>
      </c>
      <c r="C5" s="105"/>
      <c r="D5" s="394" t="s">
        <v>14</v>
      </c>
      <c r="E5" s="105"/>
      <c r="F5" s="105"/>
      <c r="G5" s="105"/>
      <c r="H5" s="105"/>
      <c r="I5" s="105"/>
      <c r="J5" s="395" t="s">
        <v>10</v>
      </c>
      <c r="K5" s="105"/>
      <c r="L5" s="105"/>
      <c r="M5" s="394" t="s">
        <v>11</v>
      </c>
      <c r="N5" s="46">
        <f>N3*N2</f>
        <v>106.51997000000001</v>
      </c>
      <c r="O5" s="128"/>
    </row>
    <row r="6" spans="1:15" ht="14.45" x14ac:dyDescent="0.3">
      <c r="A6" s="1097" t="s">
        <v>9</v>
      </c>
      <c r="B6" s="109" t="s">
        <v>506</v>
      </c>
      <c r="C6" s="105"/>
      <c r="D6" s="105"/>
      <c r="E6" s="105"/>
      <c r="F6" s="105"/>
      <c r="G6" s="105"/>
      <c r="H6" s="105"/>
      <c r="I6" s="105"/>
      <c r="J6" s="395" t="s">
        <v>14</v>
      </c>
      <c r="K6" s="105"/>
      <c r="L6" s="105"/>
      <c r="M6" s="105"/>
      <c r="N6" s="105"/>
      <c r="O6" s="128"/>
    </row>
    <row r="7" spans="1:15" ht="14.45" x14ac:dyDescent="0.3">
      <c r="A7" s="109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28"/>
    </row>
    <row r="8" spans="1:15" ht="14.45" x14ac:dyDescent="0.3">
      <c r="A8" s="1097" t="s">
        <v>15</v>
      </c>
      <c r="B8" s="104" t="s">
        <v>169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28"/>
    </row>
    <row r="9" spans="1:15" ht="14.45" x14ac:dyDescent="0.3">
      <c r="A9" s="141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28"/>
    </row>
    <row r="10" spans="1:15" ht="14.45" x14ac:dyDescent="0.3">
      <c r="A10" s="1096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28"/>
    </row>
    <row r="11" spans="1:15" s="113" customFormat="1" ht="14.45" x14ac:dyDescent="0.3">
      <c r="A11" s="1101">
        <v>10</v>
      </c>
      <c r="B11" s="855" t="s">
        <v>165</v>
      </c>
      <c r="C11" s="373"/>
      <c r="D11" s="167">
        <v>4.2</v>
      </c>
      <c r="E11" s="1100">
        <f>J11*K11*L11</f>
        <v>6.1528499999999999</v>
      </c>
      <c r="F11" s="373" t="s">
        <v>43</v>
      </c>
      <c r="G11" s="373"/>
      <c r="H11" s="168"/>
      <c r="I11" s="372" t="s">
        <v>505</v>
      </c>
      <c r="J11" s="169">
        <f>(165*275*10^-6)</f>
        <v>4.5374999999999999E-2</v>
      </c>
      <c r="K11" s="170">
        <v>0.05</v>
      </c>
      <c r="L11" s="852">
        <v>2712</v>
      </c>
      <c r="M11" s="175">
        <v>1</v>
      </c>
      <c r="N11" s="167">
        <f>D11*E11</f>
        <v>25.84197</v>
      </c>
      <c r="O11" s="142"/>
    </row>
    <row r="12" spans="1:15" ht="14.45" x14ac:dyDescent="0.3">
      <c r="A12" s="136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80">
        <f>N11*M11</f>
        <v>25.84197</v>
      </c>
      <c r="O12" s="128"/>
    </row>
    <row r="13" spans="1:15" ht="14.45" x14ac:dyDescent="0.3">
      <c r="A13" s="130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28"/>
    </row>
    <row r="14" spans="1:15" ht="14.45" x14ac:dyDescent="0.3">
      <c r="A14" s="1093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15"/>
      <c r="K14" s="115"/>
      <c r="L14" s="115"/>
      <c r="M14" s="115"/>
      <c r="N14" s="115"/>
      <c r="O14" s="128"/>
    </row>
    <row r="15" spans="1:15" s="124" customFormat="1" ht="28.9" x14ac:dyDescent="0.3">
      <c r="A15" s="1076">
        <v>10</v>
      </c>
      <c r="B15" s="1082" t="s">
        <v>111</v>
      </c>
      <c r="C15" s="1082" t="s">
        <v>468</v>
      </c>
      <c r="D15" s="251">
        <v>1.3</v>
      </c>
      <c r="E15" s="1081" t="s">
        <v>24</v>
      </c>
      <c r="F15" s="1081">
        <v>1</v>
      </c>
      <c r="G15" s="1081"/>
      <c r="H15" s="1081">
        <v>1</v>
      </c>
      <c r="I15" s="173">
        <f t="shared" ref="I15:I27" si="0">IF(H15="",D15*F15,D15*F15*H15)</f>
        <v>1.3</v>
      </c>
      <c r="J15" s="122"/>
      <c r="K15" s="122"/>
      <c r="L15" s="122"/>
      <c r="M15" s="122"/>
      <c r="N15" s="122"/>
      <c r="O15" s="132"/>
    </row>
    <row r="16" spans="1:15" ht="28.9" x14ac:dyDescent="0.3">
      <c r="A16" s="1076">
        <v>20</v>
      </c>
      <c r="B16" s="1082" t="s">
        <v>80</v>
      </c>
      <c r="C16" s="1082" t="s">
        <v>504</v>
      </c>
      <c r="D16" s="251">
        <v>0.04</v>
      </c>
      <c r="E16" s="1081" t="s">
        <v>79</v>
      </c>
      <c r="F16" s="1081">
        <v>350</v>
      </c>
      <c r="G16" s="1081" t="s">
        <v>104</v>
      </c>
      <c r="H16" s="1081">
        <v>1</v>
      </c>
      <c r="I16" s="173">
        <f t="shared" si="0"/>
        <v>14</v>
      </c>
      <c r="J16" s="105"/>
      <c r="K16" s="105"/>
      <c r="L16" s="105"/>
      <c r="M16" s="105"/>
      <c r="N16" s="105"/>
      <c r="O16" s="128"/>
    </row>
    <row r="17" spans="1:15" s="149" customFormat="1" ht="28.9" x14ac:dyDescent="0.3">
      <c r="A17" s="1076">
        <v>30</v>
      </c>
      <c r="B17" s="1082" t="s">
        <v>87</v>
      </c>
      <c r="C17" s="1082" t="s">
        <v>466</v>
      </c>
      <c r="D17" s="251">
        <v>0.65</v>
      </c>
      <c r="E17" s="1081" t="s">
        <v>24</v>
      </c>
      <c r="F17" s="1081">
        <v>1</v>
      </c>
      <c r="G17" s="1081"/>
      <c r="H17" s="1081">
        <v>1</v>
      </c>
      <c r="I17" s="173">
        <f t="shared" si="0"/>
        <v>0.65</v>
      </c>
      <c r="J17" s="129"/>
      <c r="K17" s="129"/>
      <c r="L17" s="129"/>
      <c r="M17" s="129"/>
      <c r="N17" s="129"/>
      <c r="O17" s="259"/>
    </row>
    <row r="18" spans="1:15" s="149" customFormat="1" ht="14.45" x14ac:dyDescent="0.3">
      <c r="A18" s="1076">
        <v>40</v>
      </c>
      <c r="B18" s="1082" t="s">
        <v>80</v>
      </c>
      <c r="C18" s="1082" t="s">
        <v>503</v>
      </c>
      <c r="D18" s="251">
        <v>0.04</v>
      </c>
      <c r="E18" s="1081" t="s">
        <v>79</v>
      </c>
      <c r="F18" s="1081">
        <v>1285</v>
      </c>
      <c r="G18" s="1081" t="s">
        <v>104</v>
      </c>
      <c r="H18" s="1081">
        <v>1</v>
      </c>
      <c r="I18" s="173">
        <f t="shared" si="0"/>
        <v>51.4</v>
      </c>
      <c r="J18" s="129"/>
      <c r="K18" s="129"/>
      <c r="L18" s="129"/>
      <c r="M18" s="129"/>
      <c r="N18" s="129"/>
      <c r="O18" s="259"/>
    </row>
    <row r="19" spans="1:15" s="149" customFormat="1" ht="28.9" x14ac:dyDescent="0.3">
      <c r="A19" s="1076">
        <v>50</v>
      </c>
      <c r="B19" s="1082" t="s">
        <v>87</v>
      </c>
      <c r="C19" s="1082"/>
      <c r="D19" s="251">
        <v>0.65</v>
      </c>
      <c r="E19" s="1081" t="s">
        <v>24</v>
      </c>
      <c r="F19" s="1081">
        <v>1</v>
      </c>
      <c r="G19" s="1081"/>
      <c r="H19" s="1081">
        <v>1</v>
      </c>
      <c r="I19" s="173">
        <f t="shared" si="0"/>
        <v>0.65</v>
      </c>
      <c r="J19" s="129"/>
      <c r="K19" s="129"/>
      <c r="L19" s="129"/>
      <c r="M19" s="129"/>
      <c r="N19" s="129"/>
      <c r="O19" s="259"/>
    </row>
    <row r="20" spans="1:15" s="149" customFormat="1" ht="28.9" x14ac:dyDescent="0.3">
      <c r="A20" s="1076">
        <v>60</v>
      </c>
      <c r="B20" s="1082" t="s">
        <v>80</v>
      </c>
      <c r="C20" s="1082" t="s">
        <v>502</v>
      </c>
      <c r="D20" s="251">
        <v>0.04</v>
      </c>
      <c r="E20" s="1081" t="s">
        <v>79</v>
      </c>
      <c r="F20" s="1081">
        <v>227</v>
      </c>
      <c r="G20" s="1081" t="s">
        <v>104</v>
      </c>
      <c r="H20" s="1081">
        <v>1</v>
      </c>
      <c r="I20" s="173">
        <f t="shared" si="0"/>
        <v>9.08</v>
      </c>
      <c r="J20" s="129"/>
      <c r="K20" s="129"/>
      <c r="L20" s="129"/>
      <c r="M20" s="129"/>
      <c r="N20" s="129"/>
      <c r="O20" s="259"/>
    </row>
    <row r="21" spans="1:15" s="149" customFormat="1" ht="28.9" x14ac:dyDescent="0.3">
      <c r="A21" s="1076">
        <v>70</v>
      </c>
      <c r="B21" s="1082" t="s">
        <v>87</v>
      </c>
      <c r="C21" s="1082"/>
      <c r="D21" s="251">
        <v>0.65</v>
      </c>
      <c r="E21" s="1081" t="s">
        <v>24</v>
      </c>
      <c r="F21" s="1081">
        <v>1</v>
      </c>
      <c r="G21" s="1081"/>
      <c r="H21" s="1081">
        <v>1</v>
      </c>
      <c r="I21" s="173">
        <f t="shared" si="0"/>
        <v>0.65</v>
      </c>
      <c r="J21" s="129"/>
      <c r="K21" s="129"/>
      <c r="L21" s="129"/>
      <c r="M21" s="129"/>
      <c r="N21" s="129"/>
      <c r="O21" s="259"/>
    </row>
    <row r="22" spans="1:15" ht="28.9" x14ac:dyDescent="0.3">
      <c r="A22" s="1076">
        <v>80</v>
      </c>
      <c r="B22" s="1082" t="s">
        <v>80</v>
      </c>
      <c r="C22" s="1082" t="s">
        <v>501</v>
      </c>
      <c r="D22" s="251">
        <v>0.04</v>
      </c>
      <c r="E22" s="1081" t="s">
        <v>79</v>
      </c>
      <c r="F22" s="1081">
        <v>1.2</v>
      </c>
      <c r="G22" s="1081" t="s">
        <v>104</v>
      </c>
      <c r="H22" s="1081">
        <v>1</v>
      </c>
      <c r="I22" s="173">
        <f t="shared" si="0"/>
        <v>4.8000000000000001E-2</v>
      </c>
      <c r="J22" s="105"/>
      <c r="K22" s="105"/>
      <c r="L22" s="105"/>
      <c r="M22" s="105"/>
      <c r="N22" s="105"/>
      <c r="O22" s="128"/>
    </row>
    <row r="23" spans="1:15" ht="28.9" x14ac:dyDescent="0.3">
      <c r="A23" s="1076">
        <v>90</v>
      </c>
      <c r="B23" s="1082" t="s">
        <v>87</v>
      </c>
      <c r="C23" s="1082"/>
      <c r="D23" s="251">
        <v>0.65</v>
      </c>
      <c r="E23" s="1081" t="s">
        <v>24</v>
      </c>
      <c r="F23" s="1081">
        <v>1</v>
      </c>
      <c r="G23" s="1081"/>
      <c r="H23" s="1081">
        <v>1</v>
      </c>
      <c r="I23" s="173">
        <f t="shared" si="0"/>
        <v>0.65</v>
      </c>
      <c r="J23" s="105"/>
      <c r="K23" s="105"/>
      <c r="L23" s="105"/>
      <c r="M23" s="105"/>
      <c r="N23" s="105"/>
      <c r="O23" s="128"/>
    </row>
    <row r="24" spans="1:15" ht="30" x14ac:dyDescent="0.25">
      <c r="A24" s="1076">
        <v>100</v>
      </c>
      <c r="B24" s="1082" t="s">
        <v>80</v>
      </c>
      <c r="C24" s="1082" t="s">
        <v>462</v>
      </c>
      <c r="D24" s="251">
        <v>0.04</v>
      </c>
      <c r="E24" s="1081" t="s">
        <v>79</v>
      </c>
      <c r="F24" s="1081">
        <v>24</v>
      </c>
      <c r="G24" s="1081" t="s">
        <v>104</v>
      </c>
      <c r="H24" s="1081">
        <v>1</v>
      </c>
      <c r="I24" s="173">
        <f t="shared" si="0"/>
        <v>0.96</v>
      </c>
      <c r="J24" s="105"/>
      <c r="K24" s="105"/>
      <c r="L24" s="105"/>
      <c r="M24" s="105"/>
      <c r="N24" s="105"/>
      <c r="O24" s="128"/>
    </row>
    <row r="25" spans="1:15" ht="30" x14ac:dyDescent="0.25">
      <c r="A25" s="1076">
        <v>110</v>
      </c>
      <c r="B25" s="1082" t="s">
        <v>87</v>
      </c>
      <c r="C25" s="1082"/>
      <c r="D25" s="251">
        <v>0.65</v>
      </c>
      <c r="E25" s="1081" t="s">
        <v>24</v>
      </c>
      <c r="F25" s="1081">
        <v>1</v>
      </c>
      <c r="G25" s="1081"/>
      <c r="H25" s="1081">
        <v>1</v>
      </c>
      <c r="I25" s="173">
        <f t="shared" si="0"/>
        <v>0.65</v>
      </c>
      <c r="J25" s="105"/>
      <c r="K25" s="105"/>
      <c r="L25" s="105"/>
      <c r="M25" s="105"/>
      <c r="N25" s="105"/>
      <c r="O25" s="128"/>
    </row>
    <row r="26" spans="1:15" ht="30" x14ac:dyDescent="0.25">
      <c r="A26" s="1076">
        <v>120</v>
      </c>
      <c r="B26" s="1082" t="s">
        <v>80</v>
      </c>
      <c r="C26" s="1082" t="s">
        <v>461</v>
      </c>
      <c r="D26" s="251">
        <v>0.04</v>
      </c>
      <c r="E26" s="1081" t="s">
        <v>79</v>
      </c>
      <c r="F26" s="1081">
        <v>16</v>
      </c>
      <c r="G26" s="1081" t="s">
        <v>104</v>
      </c>
      <c r="H26" s="1081">
        <v>1</v>
      </c>
      <c r="I26" s="173">
        <f t="shared" si="0"/>
        <v>0.64</v>
      </c>
      <c r="J26" s="105"/>
      <c r="K26" s="105"/>
      <c r="L26" s="105"/>
      <c r="M26" s="105"/>
      <c r="N26" s="105"/>
      <c r="O26" s="128"/>
    </row>
    <row r="27" spans="1:15" ht="30" x14ac:dyDescent="0.25">
      <c r="A27" s="1076">
        <v>130</v>
      </c>
      <c r="B27" s="1105" t="s">
        <v>45</v>
      </c>
      <c r="C27" s="1082" t="s">
        <v>500</v>
      </c>
      <c r="D27" s="251">
        <v>0.35</v>
      </c>
      <c r="E27" s="1081" t="s">
        <v>46</v>
      </c>
      <c r="F27" s="1081">
        <v>1</v>
      </c>
      <c r="G27" s="1081" t="s">
        <v>104</v>
      </c>
      <c r="H27" s="1081">
        <v>1</v>
      </c>
      <c r="I27" s="1104">
        <f t="shared" si="0"/>
        <v>0.35</v>
      </c>
      <c r="J27" s="105"/>
      <c r="K27" s="105"/>
      <c r="L27" s="105"/>
      <c r="M27" s="105"/>
      <c r="N27" s="105"/>
      <c r="O27" s="128"/>
    </row>
    <row r="28" spans="1:15" x14ac:dyDescent="0.25">
      <c r="A28" s="136"/>
      <c r="B28" s="115"/>
      <c r="C28" s="115"/>
      <c r="D28" s="115"/>
      <c r="E28" s="115"/>
      <c r="F28" s="115"/>
      <c r="G28" s="115"/>
      <c r="H28" s="359" t="s">
        <v>20</v>
      </c>
      <c r="I28" s="380">
        <f>SUM(I15:I26)</f>
        <v>80.678000000000011</v>
      </c>
      <c r="J28" s="105"/>
      <c r="K28" s="105"/>
      <c r="L28" s="105"/>
      <c r="M28" s="105"/>
      <c r="N28" s="105"/>
      <c r="O28" s="128"/>
    </row>
    <row r="29" spans="1:15" x14ac:dyDescent="0.25">
      <c r="A29" s="130"/>
      <c r="B29" s="105"/>
      <c r="C29" s="105"/>
      <c r="D29" s="105"/>
      <c r="E29" s="105"/>
      <c r="F29" s="105"/>
      <c r="G29" s="105"/>
      <c r="H29" s="105"/>
      <c r="I29" s="129"/>
      <c r="J29" s="105"/>
      <c r="K29" s="105"/>
      <c r="L29" s="105"/>
      <c r="M29" s="105"/>
      <c r="N29" s="105"/>
      <c r="O29" s="128"/>
    </row>
    <row r="30" spans="1:15" x14ac:dyDescent="0.25">
      <c r="A30" s="130"/>
      <c r="B30" s="105"/>
      <c r="C30" s="105"/>
      <c r="D30" s="105"/>
      <c r="E30" s="105"/>
      <c r="F30" s="105"/>
      <c r="G30" s="105"/>
      <c r="H30" s="105"/>
      <c r="I30" s="129"/>
      <c r="J30" s="105"/>
      <c r="K30" s="105"/>
      <c r="L30" s="105"/>
      <c r="M30" s="105"/>
      <c r="N30" s="105"/>
      <c r="O30" s="128"/>
    </row>
    <row r="31" spans="1:15" x14ac:dyDescent="0.25">
      <c r="A31" s="130"/>
      <c r="B31" s="105"/>
      <c r="C31" s="105"/>
      <c r="D31" s="105"/>
      <c r="E31" s="105"/>
      <c r="F31" s="105"/>
      <c r="G31" s="105"/>
      <c r="H31" s="105"/>
      <c r="I31" s="129"/>
      <c r="J31" s="105"/>
      <c r="K31" s="105"/>
      <c r="L31" s="105"/>
      <c r="M31" s="105"/>
      <c r="N31" s="105"/>
      <c r="O31" s="128"/>
    </row>
    <row r="32" spans="1:15" x14ac:dyDescent="0.25">
      <c r="A32" s="130"/>
      <c r="B32" s="105"/>
      <c r="C32" s="105"/>
      <c r="D32" s="105"/>
      <c r="E32" s="105"/>
      <c r="F32" s="105"/>
      <c r="G32" s="105"/>
      <c r="H32" s="105"/>
      <c r="I32" s="129"/>
      <c r="J32" s="105"/>
      <c r="K32" s="105"/>
      <c r="L32" s="105"/>
      <c r="M32" s="105"/>
      <c r="N32" s="105"/>
      <c r="O32" s="128"/>
    </row>
    <row r="33" spans="1:15" x14ac:dyDescent="0.25">
      <c r="A33" s="130"/>
      <c r="B33" s="105"/>
      <c r="C33" s="105"/>
      <c r="D33" s="105"/>
      <c r="E33" s="105"/>
      <c r="F33" s="105"/>
      <c r="G33" s="105"/>
      <c r="H33" s="105"/>
      <c r="I33" s="129"/>
      <c r="J33" s="105"/>
      <c r="K33" s="105"/>
      <c r="L33" s="105"/>
      <c r="M33" s="105"/>
      <c r="N33" s="105"/>
      <c r="O33" s="128"/>
    </row>
    <row r="34" spans="1:15" ht="15.75" thickBot="1" x14ac:dyDescent="0.3">
      <c r="A34" s="138"/>
      <c r="B34" s="139"/>
      <c r="C34" s="139"/>
      <c r="D34" s="139"/>
      <c r="E34" s="139"/>
      <c r="F34" s="139"/>
      <c r="G34" s="139"/>
      <c r="H34" s="139"/>
      <c r="I34" s="139"/>
      <c r="J34" s="139"/>
      <c r="K34" s="139"/>
      <c r="L34" s="139"/>
      <c r="M34" s="139"/>
      <c r="N34" s="139"/>
      <c r="O34" s="140"/>
    </row>
  </sheetData>
  <hyperlinks>
    <hyperlink ref="E3" location="dSU_11001" display="Drawing"/>
    <hyperlink ref="B4" location="SU_A1100" display="SU_A1100"/>
    <hyperlink ref="G2" location="SU_A1100_BOM" display="Back to BOM"/>
  </hyperlinks>
  <pageMargins left="0.31496062992125984" right="0.31496062992125984" top="0.31496062992125984" bottom="0.39370078740157483" header="0.51181102362204722" footer="0.31496062992125984"/>
  <pageSetup paperSize="9" scale="86" firstPageNumber="0" fitToHeight="99" orientation="landscape" horizontalDpi="1200" verticalDpi="1200" r:id="rId1"/>
  <rowBreaks count="2" manualBreakCount="2">
    <brk id="27" max="16383" man="1"/>
    <brk id="65" max="16383" man="1"/>
  </rowBreaks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121" t="s">
        <v>508</v>
      </c>
    </row>
  </sheetData>
  <hyperlinks>
    <hyperlink ref="B1" location="SU_11001" display="SU_1100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5"/>
  <sheetViews>
    <sheetView zoomScaleNormal="10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22.85546875" style="103" customWidth="1"/>
    <col min="3" max="3" width="25.28515625" style="103" customWidth="1"/>
    <col min="4" max="6" width="9.140625" style="103"/>
    <col min="7" max="7" width="14.42578125" style="103" customWidth="1"/>
    <col min="8" max="8" width="9.140625" style="103"/>
    <col min="9" max="9" width="14.28515625" style="103" customWidth="1"/>
    <col min="10" max="13" width="9.140625" style="103"/>
    <col min="14" max="14" width="12.5703125" style="103" bestFit="1" customWidth="1"/>
    <col min="15" max="15" width="3.140625" style="103" customWidth="1"/>
    <col min="16" max="16384" width="9.1406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109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94" t="s">
        <v>18</v>
      </c>
      <c r="N2" s="46">
        <f>SU_11002_m+SU_11002_p</f>
        <v>21.194420000000001</v>
      </c>
      <c r="O2" s="128"/>
    </row>
    <row r="3" spans="1:15" ht="14.45" x14ac:dyDescent="0.3">
      <c r="A3" s="1097" t="s">
        <v>5</v>
      </c>
      <c r="B3" s="104" t="str">
        <f>'SU A1100 '!B3</f>
        <v>Wheels &amp; Tires</v>
      </c>
      <c r="C3" s="105"/>
      <c r="D3" s="394" t="s">
        <v>8</v>
      </c>
      <c r="E3" s="184" t="s">
        <v>84</v>
      </c>
      <c r="F3" s="105"/>
      <c r="G3" s="105"/>
      <c r="H3" s="105"/>
      <c r="I3" s="105"/>
      <c r="J3" s="105"/>
      <c r="K3" s="105"/>
      <c r="L3" s="105"/>
      <c r="M3" s="394" t="s">
        <v>6</v>
      </c>
      <c r="N3" s="47">
        <v>1</v>
      </c>
      <c r="O3" s="128"/>
    </row>
    <row r="4" spans="1:15" ht="14.45" x14ac:dyDescent="0.3">
      <c r="A4" s="1097" t="s">
        <v>7</v>
      </c>
      <c r="B4" s="184" t="str">
        <f>'SU A1100 '!B4</f>
        <v>Rear Uprights</v>
      </c>
      <c r="C4" s="105"/>
      <c r="D4" s="394" t="s">
        <v>10</v>
      </c>
      <c r="E4" s="105"/>
      <c r="F4" s="105"/>
      <c r="G4" s="105"/>
      <c r="H4" s="105"/>
      <c r="I4" s="105"/>
      <c r="J4" s="395" t="s">
        <v>8</v>
      </c>
      <c r="K4" s="105"/>
      <c r="L4" s="105"/>
      <c r="M4" s="105"/>
      <c r="N4" s="105"/>
      <c r="O4" s="128"/>
    </row>
    <row r="5" spans="1:15" ht="14.45" x14ac:dyDescent="0.3">
      <c r="A5" s="1097" t="s">
        <v>17</v>
      </c>
      <c r="B5" s="108" t="s">
        <v>455</v>
      </c>
      <c r="C5" s="105"/>
      <c r="D5" s="394" t="s">
        <v>14</v>
      </c>
      <c r="E5" s="105"/>
      <c r="F5" s="105"/>
      <c r="G5" s="105"/>
      <c r="H5" s="105"/>
      <c r="I5" s="105"/>
      <c r="J5" s="395" t="s">
        <v>10</v>
      </c>
      <c r="K5" s="105"/>
      <c r="L5" s="105"/>
      <c r="M5" s="394" t="s">
        <v>11</v>
      </c>
      <c r="N5" s="46">
        <f>N3*N2</f>
        <v>21.194420000000001</v>
      </c>
      <c r="O5" s="128"/>
    </row>
    <row r="6" spans="1:15" ht="14.45" x14ac:dyDescent="0.3">
      <c r="A6" s="1097" t="s">
        <v>9</v>
      </c>
      <c r="B6" s="109" t="s">
        <v>509</v>
      </c>
      <c r="C6" s="105"/>
      <c r="D6" s="105"/>
      <c r="E6" s="105"/>
      <c r="F6" s="105"/>
      <c r="G6" s="105"/>
      <c r="H6" s="105"/>
      <c r="I6" s="105"/>
      <c r="J6" s="395" t="s">
        <v>14</v>
      </c>
      <c r="K6" s="105"/>
      <c r="L6" s="105"/>
      <c r="M6" s="105"/>
      <c r="N6" s="105"/>
      <c r="O6" s="128"/>
    </row>
    <row r="7" spans="1:15" ht="14.45" x14ac:dyDescent="0.3">
      <c r="A7" s="109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28"/>
    </row>
    <row r="8" spans="1:15" ht="14.45" x14ac:dyDescent="0.3">
      <c r="A8" s="1097" t="s">
        <v>15</v>
      </c>
      <c r="B8" s="104" t="s">
        <v>482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28"/>
    </row>
    <row r="9" spans="1:15" ht="14.45" x14ac:dyDescent="0.3">
      <c r="A9" s="141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28"/>
    </row>
    <row r="10" spans="1:15" ht="14.45" x14ac:dyDescent="0.3">
      <c r="A10" s="1096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28"/>
    </row>
    <row r="11" spans="1:15" s="113" customFormat="1" ht="28.9" x14ac:dyDescent="0.3">
      <c r="A11" s="1095">
        <v>10</v>
      </c>
      <c r="B11" s="975" t="s">
        <v>78</v>
      </c>
      <c r="C11" s="839"/>
      <c r="D11" s="173">
        <v>2.25</v>
      </c>
      <c r="E11" s="1094">
        <f>J11*K11*L11</f>
        <v>1.4695199999999999</v>
      </c>
      <c r="F11" s="839" t="s">
        <v>43</v>
      </c>
      <c r="G11" s="839"/>
      <c r="H11" s="267"/>
      <c r="I11" s="974" t="s">
        <v>481</v>
      </c>
      <c r="J11" s="268">
        <f>0.05*0.072</f>
        <v>3.5999999999999999E-3</v>
      </c>
      <c r="K11" s="269">
        <v>5.1999999999999998E-2</v>
      </c>
      <c r="L11" s="972">
        <v>7850</v>
      </c>
      <c r="M11" s="270">
        <v>1</v>
      </c>
      <c r="N11" s="173">
        <f>D11*E11</f>
        <v>3.3064199999999997</v>
      </c>
      <c r="O11" s="142"/>
    </row>
    <row r="12" spans="1:15" ht="14.45" x14ac:dyDescent="0.3">
      <c r="A12" s="136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80">
        <f>N11*M11</f>
        <v>3.3064199999999997</v>
      </c>
      <c r="O12" s="128"/>
    </row>
    <row r="13" spans="1:15" ht="14.45" x14ac:dyDescent="0.3">
      <c r="A13" s="130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28"/>
    </row>
    <row r="14" spans="1:15" ht="14.45" x14ac:dyDescent="0.3">
      <c r="A14" s="1093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15"/>
      <c r="K14" s="115"/>
      <c r="L14" s="115"/>
      <c r="M14" s="115"/>
      <c r="N14" s="115"/>
      <c r="O14" s="128"/>
    </row>
    <row r="15" spans="1:15" s="124" customFormat="1" ht="28.9" x14ac:dyDescent="0.3">
      <c r="A15" s="1076">
        <v>10</v>
      </c>
      <c r="B15" s="1082" t="s">
        <v>111</v>
      </c>
      <c r="C15" s="1082" t="s">
        <v>468</v>
      </c>
      <c r="D15" s="251">
        <v>1.3</v>
      </c>
      <c r="E15" s="1081" t="s">
        <v>24</v>
      </c>
      <c r="F15" s="1081">
        <v>1</v>
      </c>
      <c r="G15" s="1081"/>
      <c r="H15" s="1081">
        <v>1</v>
      </c>
      <c r="I15" s="173">
        <f t="shared" ref="I15:I22" si="0">IF(H15="",D15*F15,D15*F15*H15)</f>
        <v>1.3</v>
      </c>
      <c r="J15" s="122"/>
      <c r="K15" s="122"/>
      <c r="L15" s="122"/>
      <c r="M15" s="122"/>
      <c r="N15" s="122"/>
      <c r="O15" s="132"/>
    </row>
    <row r="16" spans="1:15" ht="14.45" x14ac:dyDescent="0.3">
      <c r="A16" s="1076">
        <v>20</v>
      </c>
      <c r="B16" s="1082" t="s">
        <v>80</v>
      </c>
      <c r="C16" s="1082" t="s">
        <v>480</v>
      </c>
      <c r="D16" s="251">
        <v>0.04</v>
      </c>
      <c r="E16" s="1081" t="s">
        <v>79</v>
      </c>
      <c r="F16" s="1081">
        <v>102</v>
      </c>
      <c r="G16" s="1081" t="s">
        <v>93</v>
      </c>
      <c r="H16" s="1081">
        <v>3</v>
      </c>
      <c r="I16" s="173">
        <f t="shared" si="0"/>
        <v>12.24</v>
      </c>
      <c r="J16" s="105"/>
      <c r="K16" s="105"/>
      <c r="L16" s="105"/>
      <c r="M16" s="105"/>
      <c r="N16" s="105"/>
      <c r="O16" s="128"/>
    </row>
    <row r="17" spans="1:15" s="149" customFormat="1" ht="14.45" x14ac:dyDescent="0.3">
      <c r="A17" s="1076">
        <v>30</v>
      </c>
      <c r="B17" s="1082" t="s">
        <v>87</v>
      </c>
      <c r="C17" s="1082" t="s">
        <v>466</v>
      </c>
      <c r="D17" s="251">
        <v>0.65</v>
      </c>
      <c r="E17" s="1081" t="s">
        <v>24</v>
      </c>
      <c r="F17" s="1081">
        <v>1</v>
      </c>
      <c r="G17" s="1081"/>
      <c r="H17" s="1081">
        <v>1</v>
      </c>
      <c r="I17" s="173">
        <f t="shared" si="0"/>
        <v>0.65</v>
      </c>
      <c r="J17" s="129"/>
      <c r="K17" s="129"/>
      <c r="L17" s="129"/>
      <c r="M17" s="129"/>
      <c r="N17" s="129"/>
      <c r="O17" s="259"/>
    </row>
    <row r="18" spans="1:15" s="149" customFormat="1" ht="14.45" x14ac:dyDescent="0.3">
      <c r="A18" s="1076">
        <v>40</v>
      </c>
      <c r="B18" s="1082" t="s">
        <v>80</v>
      </c>
      <c r="C18" s="1082" t="s">
        <v>479</v>
      </c>
      <c r="D18" s="251">
        <v>0.04</v>
      </c>
      <c r="E18" s="1081" t="s">
        <v>79</v>
      </c>
      <c r="F18" s="1081">
        <v>25.2</v>
      </c>
      <c r="G18" s="1081" t="s">
        <v>93</v>
      </c>
      <c r="H18" s="1081">
        <v>3</v>
      </c>
      <c r="I18" s="173">
        <f t="shared" si="0"/>
        <v>3.024</v>
      </c>
      <c r="J18" s="129"/>
      <c r="K18" s="129"/>
      <c r="L18" s="129"/>
      <c r="M18" s="129"/>
      <c r="N18" s="129"/>
      <c r="O18" s="259"/>
    </row>
    <row r="19" spans="1:15" s="149" customFormat="1" ht="14.45" x14ac:dyDescent="0.3">
      <c r="A19" s="1076">
        <v>50</v>
      </c>
      <c r="B19" s="1082" t="s">
        <v>87</v>
      </c>
      <c r="C19" s="1082" t="s">
        <v>466</v>
      </c>
      <c r="D19" s="251">
        <v>0.65</v>
      </c>
      <c r="E19" s="1081" t="s">
        <v>24</v>
      </c>
      <c r="F19" s="1081">
        <v>1</v>
      </c>
      <c r="G19" s="1081"/>
      <c r="H19" s="1081">
        <v>1</v>
      </c>
      <c r="I19" s="173">
        <f t="shared" si="0"/>
        <v>0.65</v>
      </c>
      <c r="J19" s="129"/>
      <c r="K19" s="129"/>
      <c r="L19" s="129"/>
      <c r="M19" s="129"/>
      <c r="N19" s="129"/>
      <c r="O19" s="259"/>
    </row>
    <row r="20" spans="1:15" s="149" customFormat="1" ht="14.45" x14ac:dyDescent="0.3">
      <c r="A20" s="1076">
        <v>60</v>
      </c>
      <c r="B20" s="1082" t="s">
        <v>80</v>
      </c>
      <c r="C20" s="1082" t="s">
        <v>478</v>
      </c>
      <c r="D20" s="251">
        <v>0.04</v>
      </c>
      <c r="E20" s="1081" t="s">
        <v>79</v>
      </c>
      <c r="F20" s="1081">
        <v>0.2</v>
      </c>
      <c r="G20" s="1081" t="s">
        <v>93</v>
      </c>
      <c r="H20" s="1081">
        <v>3</v>
      </c>
      <c r="I20" s="173">
        <f t="shared" si="0"/>
        <v>2.4E-2</v>
      </c>
      <c r="J20" s="129"/>
      <c r="K20" s="129"/>
      <c r="L20" s="129"/>
      <c r="M20" s="129"/>
      <c r="N20" s="129"/>
      <c r="O20" s="259"/>
    </row>
    <row r="21" spans="1:15" ht="14.45" x14ac:dyDescent="0.3">
      <c r="A21" s="1076">
        <v>70</v>
      </c>
      <c r="B21" s="1082" t="s">
        <v>87</v>
      </c>
      <c r="C21" s="1082" t="s">
        <v>466</v>
      </c>
      <c r="D21" s="251">
        <v>0.65</v>
      </c>
      <c r="E21" s="1081" t="s">
        <v>24</v>
      </c>
      <c r="F21" s="1081">
        <v>1</v>
      </c>
      <c r="G21" s="1081"/>
      <c r="H21" s="1081">
        <v>1</v>
      </c>
      <c r="I21" s="173">
        <f t="shared" si="0"/>
        <v>0.65</v>
      </c>
      <c r="J21" s="115"/>
      <c r="K21" s="115"/>
      <c r="L21" s="115"/>
      <c r="M21" s="115"/>
      <c r="N21" s="115"/>
      <c r="O21" s="128"/>
    </row>
    <row r="22" spans="1:15" ht="30" x14ac:dyDescent="0.25">
      <c r="A22" s="1076">
        <v>80</v>
      </c>
      <c r="B22" s="1082" t="s">
        <v>80</v>
      </c>
      <c r="C22" s="1082" t="s">
        <v>477</v>
      </c>
      <c r="D22" s="251">
        <v>0.04</v>
      </c>
      <c r="E22" s="1081" t="s">
        <v>79</v>
      </c>
      <c r="F22" s="1081">
        <v>3.56</v>
      </c>
      <c r="G22" s="1081" t="s">
        <v>93</v>
      </c>
      <c r="H22" s="1081">
        <v>3</v>
      </c>
      <c r="I22" s="173">
        <f t="shared" si="0"/>
        <v>0.42720000000000002</v>
      </c>
      <c r="J22" s="105"/>
      <c r="K22" s="105"/>
      <c r="L22" s="105"/>
      <c r="M22" s="105"/>
      <c r="N22" s="105"/>
      <c r="O22" s="128"/>
    </row>
    <row r="23" spans="1:15" x14ac:dyDescent="0.25">
      <c r="A23" s="130"/>
      <c r="B23" s="105"/>
      <c r="C23" s="105"/>
      <c r="D23" s="105"/>
      <c r="E23" s="105"/>
      <c r="F23" s="105"/>
      <c r="G23" s="105"/>
      <c r="H23" s="371" t="s">
        <v>20</v>
      </c>
      <c r="I23" s="1098">
        <f>SUM(I15:I20)</f>
        <v>17.888000000000002</v>
      </c>
      <c r="J23" s="105"/>
      <c r="K23" s="105"/>
      <c r="L23" s="105"/>
      <c r="M23" s="105"/>
      <c r="N23" s="105"/>
      <c r="O23" s="128"/>
    </row>
    <row r="24" spans="1:15" s="105" customFormat="1" x14ac:dyDescent="0.25">
      <c r="A24" s="130"/>
      <c r="O24" s="128"/>
    </row>
    <row r="25" spans="1:15" ht="15.75" thickBot="1" x14ac:dyDescent="0.3">
      <c r="A25" s="138"/>
      <c r="B25" s="139"/>
      <c r="C25" s="139"/>
      <c r="D25" s="139"/>
      <c r="E25" s="139"/>
      <c r="F25" s="139"/>
      <c r="G25" s="139"/>
      <c r="H25" s="139"/>
      <c r="I25" s="139"/>
      <c r="J25" s="139"/>
      <c r="K25" s="139"/>
      <c r="L25" s="139"/>
      <c r="M25" s="139"/>
      <c r="N25" s="139"/>
      <c r="O25" s="140"/>
    </row>
  </sheetData>
  <hyperlinks>
    <hyperlink ref="E3" location="dSU_11002" display="Drawing"/>
    <hyperlink ref="G2" location="SU_A1100_BOM" display="Back to BOM"/>
    <hyperlink ref="B4" location="SU_A1100" display="SU_A1100"/>
  </hyperlinks>
  <pageMargins left="0.31496062992125984" right="0.31496062992125984" top="0.31496062992125984" bottom="0.39370078740157483" header="0.51181102362204722" footer="0.31496062992125984"/>
  <pageSetup paperSize="9" scale="80" firstPageNumber="0" fitToHeight="99" orientation="landscape" horizontalDpi="1200" verticalDpi="1200" r:id="rId1"/>
  <rowBreaks count="2" manualBreakCount="2">
    <brk id="23" max="16383" man="1"/>
    <brk id="57" max="16383" man="1"/>
  </rowBreaks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60" t="s">
        <v>510</v>
      </c>
    </row>
  </sheetData>
  <hyperlinks>
    <hyperlink ref="B1" location="SU_11002" display="SU_11002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Normal="10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17.85546875" style="103" customWidth="1"/>
    <col min="3" max="3" width="13.42578125" style="103" customWidth="1"/>
    <col min="4" max="6" width="9.140625" style="103"/>
    <col min="7" max="7" width="10.7109375" style="103" customWidth="1"/>
    <col min="8" max="13" width="9.140625" style="103"/>
    <col min="14" max="14" width="12.5703125" style="103" bestFit="1" customWidth="1"/>
    <col min="15" max="15" width="3.140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94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94" t="s">
        <v>18</v>
      </c>
      <c r="N2" s="46">
        <f>N12+SU_11003_p</f>
        <v>0.82576020000000006</v>
      </c>
      <c r="O2" s="107"/>
    </row>
    <row r="3" spans="1:15" ht="14.45" x14ac:dyDescent="0.3">
      <c r="A3" s="394" t="s">
        <v>5</v>
      </c>
      <c r="B3" s="104" t="str">
        <f>'SU A1100 '!B3</f>
        <v>Wheels &amp; Tires</v>
      </c>
      <c r="C3" s="105"/>
      <c r="D3" s="394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94" t="s">
        <v>6</v>
      </c>
      <c r="N3" s="47">
        <v>1</v>
      </c>
      <c r="O3" s="107"/>
    </row>
    <row r="4" spans="1:15" ht="14.45" x14ac:dyDescent="0.3">
      <c r="A4" s="394" t="s">
        <v>7</v>
      </c>
      <c r="B4" s="184" t="str">
        <f>'SU A1100 '!B4</f>
        <v>Rear Uprights</v>
      </c>
      <c r="C4" s="105"/>
      <c r="D4" s="394" t="s">
        <v>10</v>
      </c>
      <c r="E4" s="105"/>
      <c r="F4" s="105"/>
      <c r="G4" s="105"/>
      <c r="H4" s="105"/>
      <c r="I4" s="105"/>
      <c r="J4" s="395" t="s">
        <v>8</v>
      </c>
      <c r="K4" s="105"/>
      <c r="L4" s="105"/>
      <c r="M4" s="105"/>
      <c r="N4" s="105"/>
      <c r="O4" s="107"/>
    </row>
    <row r="5" spans="1:15" ht="14.45" x14ac:dyDescent="0.3">
      <c r="A5" s="394" t="s">
        <v>17</v>
      </c>
      <c r="B5" s="108" t="s">
        <v>488</v>
      </c>
      <c r="C5" s="105"/>
      <c r="D5" s="394" t="s">
        <v>14</v>
      </c>
      <c r="E5" s="105"/>
      <c r="F5" s="105"/>
      <c r="G5" s="105"/>
      <c r="H5" s="105"/>
      <c r="I5" s="105"/>
      <c r="J5" s="395" t="s">
        <v>10</v>
      </c>
      <c r="K5" s="105"/>
      <c r="L5" s="105"/>
      <c r="M5" s="394" t="s">
        <v>11</v>
      </c>
      <c r="N5" s="46">
        <f>N3*N2</f>
        <v>0.82576020000000006</v>
      </c>
      <c r="O5" s="107"/>
    </row>
    <row r="6" spans="1:15" ht="14.45" x14ac:dyDescent="0.3">
      <c r="A6" s="394" t="s">
        <v>9</v>
      </c>
      <c r="B6" s="109" t="s">
        <v>512</v>
      </c>
      <c r="C6" s="105"/>
      <c r="D6" s="105"/>
      <c r="E6" s="105"/>
      <c r="F6" s="105"/>
      <c r="G6" s="105"/>
      <c r="H6" s="105"/>
      <c r="I6" s="105"/>
      <c r="J6" s="395" t="s">
        <v>14</v>
      </c>
      <c r="K6" s="105"/>
      <c r="L6" s="105"/>
      <c r="M6" s="105"/>
      <c r="N6" s="105"/>
      <c r="O6" s="107"/>
    </row>
    <row r="7" spans="1:15" ht="14.45" x14ac:dyDescent="0.3">
      <c r="A7" s="394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94" t="s">
        <v>15</v>
      </c>
      <c r="B8" s="104" t="s">
        <v>486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91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07"/>
    </row>
    <row r="11" spans="1:15" s="113" customFormat="1" ht="14.45" x14ac:dyDescent="0.3">
      <c r="A11" s="374">
        <v>10</v>
      </c>
      <c r="B11" s="855" t="s">
        <v>110</v>
      </c>
      <c r="C11" s="373"/>
      <c r="D11" s="167">
        <v>2.25</v>
      </c>
      <c r="E11" s="1100">
        <f>J11*K11*L11</f>
        <v>9.6711999999999996E-3</v>
      </c>
      <c r="F11" s="373" t="s">
        <v>43</v>
      </c>
      <c r="G11" s="373"/>
      <c r="H11" s="168"/>
      <c r="I11" s="372" t="s">
        <v>511</v>
      </c>
      <c r="J11" s="169">
        <f>(22*56*10^(-6))</f>
        <v>1.232E-3</v>
      </c>
      <c r="K11" s="170">
        <v>1E-3</v>
      </c>
      <c r="L11" s="852">
        <v>7850</v>
      </c>
      <c r="M11" s="175">
        <v>1</v>
      </c>
      <c r="N11" s="167">
        <f>D11*E11</f>
        <v>2.17602E-2</v>
      </c>
      <c r="O11" s="112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80">
        <f>N11*M11</f>
        <v>2.17602E-2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87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15"/>
      <c r="K14" s="115"/>
      <c r="L14" s="115"/>
      <c r="M14" s="115"/>
      <c r="N14" s="115"/>
      <c r="O14" s="107"/>
    </row>
    <row r="15" spans="1:15" s="124" customFormat="1" ht="45" customHeight="1" x14ac:dyDescent="0.3">
      <c r="A15" s="1081">
        <v>10</v>
      </c>
      <c r="B15" s="1082" t="s">
        <v>111</v>
      </c>
      <c r="C15" s="1082" t="s">
        <v>170</v>
      </c>
      <c r="D15" s="251">
        <v>1.3</v>
      </c>
      <c r="E15" s="1081" t="s">
        <v>24</v>
      </c>
      <c r="F15" s="1081">
        <v>1</v>
      </c>
      <c r="G15" s="1081" t="s">
        <v>173</v>
      </c>
      <c r="H15" s="1081">
        <v>0.5</v>
      </c>
      <c r="I15" s="173">
        <f>IF(H15="",D15*F15,D15*F15*H15)</f>
        <v>0.65</v>
      </c>
      <c r="J15" s="122"/>
      <c r="K15" s="122"/>
      <c r="L15" s="122"/>
      <c r="M15" s="122"/>
      <c r="N15" s="122"/>
      <c r="O15" s="123"/>
    </row>
    <row r="16" spans="1:15" ht="14.45" x14ac:dyDescent="0.3">
      <c r="A16" s="1081">
        <v>20</v>
      </c>
      <c r="B16" s="1082" t="s">
        <v>92</v>
      </c>
      <c r="C16" s="1082"/>
      <c r="D16" s="251">
        <v>0.01</v>
      </c>
      <c r="E16" s="1081" t="s">
        <v>76</v>
      </c>
      <c r="F16" s="1081">
        <v>15.4</v>
      </c>
      <c r="G16" s="187"/>
      <c r="H16" s="1102">
        <v>1</v>
      </c>
      <c r="I16" s="173">
        <f>F16*D16</f>
        <v>0.154</v>
      </c>
      <c r="J16" s="105"/>
      <c r="K16" s="105"/>
      <c r="L16" s="105"/>
      <c r="M16" s="105"/>
      <c r="N16" s="105"/>
      <c r="O16" s="107"/>
    </row>
    <row r="17" spans="1:15" ht="14.45" x14ac:dyDescent="0.3">
      <c r="A17" s="1081">
        <v>30</v>
      </c>
      <c r="B17" s="1082" t="s">
        <v>91</v>
      </c>
      <c r="C17" s="1082"/>
      <c r="D17" s="266">
        <v>0.25</v>
      </c>
      <c r="E17" s="1081" t="s">
        <v>90</v>
      </c>
      <c r="F17" s="1081">
        <v>1</v>
      </c>
      <c r="G17" s="1081"/>
      <c r="H17" s="1081">
        <v>1</v>
      </c>
      <c r="I17" s="173">
        <f>F17*D17</f>
        <v>0.25</v>
      </c>
      <c r="J17" s="115"/>
      <c r="K17" s="115"/>
      <c r="L17" s="115"/>
      <c r="M17" s="115"/>
      <c r="N17" s="115"/>
      <c r="O17" s="107"/>
    </row>
    <row r="18" spans="1:15" ht="14.45" x14ac:dyDescent="0.3">
      <c r="A18" s="116"/>
      <c r="B18" s="105"/>
      <c r="C18" s="105"/>
      <c r="D18" s="105"/>
      <c r="E18" s="105"/>
      <c r="F18" s="105"/>
      <c r="G18" s="105"/>
      <c r="H18" s="359" t="s">
        <v>20</v>
      </c>
      <c r="I18" s="380">
        <f>SUM(I15:I16)</f>
        <v>0.80400000000000005</v>
      </c>
      <c r="J18" s="105"/>
      <c r="K18" s="105"/>
      <c r="L18" s="105"/>
      <c r="M18" s="105"/>
      <c r="N18" s="105"/>
      <c r="O18" s="107"/>
    </row>
    <row r="19" spans="1:15" thickBot="1" x14ac:dyDescent="0.35">
      <c r="A19" s="118"/>
      <c r="B19" s="119"/>
      <c r="C19" s="119"/>
      <c r="D19" s="119"/>
      <c r="E19" s="119"/>
      <c r="F19" s="119"/>
      <c r="G19" s="119"/>
      <c r="H19" s="119"/>
      <c r="I19" s="119"/>
      <c r="J19" s="119"/>
      <c r="K19" s="119"/>
      <c r="L19" s="119"/>
      <c r="M19" s="119"/>
      <c r="N19" s="119"/>
      <c r="O19" s="120"/>
    </row>
  </sheetData>
  <hyperlinks>
    <hyperlink ref="E3" location="dSU_11003" display="Drawing"/>
    <hyperlink ref="G2" location="SU_A1100_BOM" display="Back to BOM"/>
    <hyperlink ref="B4" location="SU_A1100" display="SU_A1100"/>
  </hyperlinks>
  <pageMargins left="0.31496062992125984" right="0.31496062992125984" top="0.31496062992125984" bottom="0.39370078740157483" header="0.51181102362204722" footer="0.31496062992125984"/>
  <pageSetup paperSize="9" scale="96" firstPageNumber="0" fitToHeight="99" orientation="landscape" horizontalDpi="1200" verticalDpi="1200" r:id="rId1"/>
  <rowBreaks count="2" manualBreakCount="2">
    <brk id="19" max="16383" man="1"/>
    <brk id="53" max="16383" man="1"/>
  </rowBreaks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121" t="s">
        <v>513</v>
      </c>
    </row>
  </sheetData>
  <hyperlinks>
    <hyperlink ref="B1" location="SU_11003" display="SU_11003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28515625" style="103" bestFit="1" customWidth="1"/>
    <col min="2" max="2" width="19" style="103" customWidth="1"/>
    <col min="3" max="3" width="9.140625" style="103"/>
    <col min="4" max="6" width="9.28515625" style="103" bestFit="1" customWidth="1"/>
    <col min="7" max="7" width="12.85546875" style="103" customWidth="1"/>
    <col min="8" max="8" width="12.7109375" style="103" bestFit="1" customWidth="1"/>
    <col min="9" max="9" width="15.85546875" style="103" customWidth="1"/>
    <col min="10" max="13" width="9.28515625" style="103" bestFit="1" customWidth="1"/>
    <col min="14" max="14" width="12.7109375" style="103" bestFit="1" customWidth="1"/>
    <col min="15" max="15" width="3.140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94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94" t="s">
        <v>18</v>
      </c>
      <c r="N2" s="46">
        <f>SU_11004_m+SU_11004_p</f>
        <v>0.42454853333333331</v>
      </c>
      <c r="O2" s="107"/>
    </row>
    <row r="3" spans="1:15" ht="14.45" x14ac:dyDescent="0.3">
      <c r="A3" s="394" t="s">
        <v>5</v>
      </c>
      <c r="B3" s="104" t="str">
        <f>'SU A1100 '!B3</f>
        <v>Wheels &amp; Tires</v>
      </c>
      <c r="C3" s="105"/>
      <c r="D3" s="394" t="s">
        <v>8</v>
      </c>
      <c r="E3" s="121" t="s">
        <v>84</v>
      </c>
      <c r="F3" s="105"/>
      <c r="G3" s="105"/>
      <c r="H3" s="105"/>
      <c r="I3" s="105"/>
      <c r="J3" s="105"/>
      <c r="K3" s="105"/>
      <c r="L3" s="105"/>
      <c r="M3" s="394" t="s">
        <v>6</v>
      </c>
      <c r="N3" s="47">
        <v>15</v>
      </c>
      <c r="O3" s="107"/>
    </row>
    <row r="4" spans="1:15" ht="14.45" x14ac:dyDescent="0.3">
      <c r="A4" s="394" t="s">
        <v>7</v>
      </c>
      <c r="B4" s="184" t="str">
        <f>'SU A1100 '!B4</f>
        <v>Rear Uprights</v>
      </c>
      <c r="C4" s="105"/>
      <c r="D4" s="394" t="s">
        <v>10</v>
      </c>
      <c r="E4" s="105"/>
      <c r="F4" s="105"/>
      <c r="G4" s="105"/>
      <c r="H4" s="105"/>
      <c r="I4" s="105"/>
      <c r="J4" s="395" t="s">
        <v>8</v>
      </c>
      <c r="K4" s="105"/>
      <c r="L4" s="105"/>
      <c r="M4" s="105"/>
      <c r="N4" s="105"/>
      <c r="O4" s="107"/>
    </row>
    <row r="5" spans="1:15" ht="14.45" x14ac:dyDescent="0.3">
      <c r="A5" s="394" t="s">
        <v>17</v>
      </c>
      <c r="B5" s="108" t="s">
        <v>453</v>
      </c>
      <c r="C5" s="105"/>
      <c r="D5" s="394" t="s">
        <v>14</v>
      </c>
      <c r="E5" s="105"/>
      <c r="F5" s="105"/>
      <c r="G5" s="105"/>
      <c r="H5" s="105"/>
      <c r="I5" s="105"/>
      <c r="J5" s="395" t="s">
        <v>10</v>
      </c>
      <c r="K5" s="105"/>
      <c r="L5" s="105"/>
      <c r="M5" s="394" t="s">
        <v>11</v>
      </c>
      <c r="N5" s="46">
        <f>N3*N2</f>
        <v>6.3682279999999993</v>
      </c>
      <c r="O5" s="107"/>
    </row>
    <row r="6" spans="1:15" ht="14.45" x14ac:dyDescent="0.3">
      <c r="A6" s="394" t="s">
        <v>9</v>
      </c>
      <c r="B6" s="109" t="s">
        <v>516</v>
      </c>
      <c r="C6" s="105"/>
      <c r="D6" s="105"/>
      <c r="E6" s="105"/>
      <c r="F6" s="105"/>
      <c r="G6" s="105"/>
      <c r="H6" s="105"/>
      <c r="I6" s="105"/>
      <c r="J6" s="395" t="s">
        <v>14</v>
      </c>
      <c r="K6" s="105"/>
      <c r="L6" s="105"/>
      <c r="M6" s="105"/>
      <c r="N6" s="105"/>
      <c r="O6" s="107"/>
    </row>
    <row r="7" spans="1:15" ht="14.45" x14ac:dyDescent="0.3">
      <c r="A7" s="394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94" t="s">
        <v>15</v>
      </c>
      <c r="B8" s="104" t="s">
        <v>491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91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07"/>
    </row>
    <row r="11" spans="1:15" s="113" customFormat="1" ht="28.9" x14ac:dyDescent="0.3">
      <c r="A11" s="976">
        <v>10</v>
      </c>
      <c r="B11" s="258" t="s">
        <v>110</v>
      </c>
      <c r="C11" s="1081"/>
      <c r="D11" s="251">
        <v>2.25</v>
      </c>
      <c r="E11" s="1094">
        <f>J11*K11*L11</f>
        <v>3.1651199999999997E-2</v>
      </c>
      <c r="F11" s="839" t="s">
        <v>43</v>
      </c>
      <c r="G11" s="839"/>
      <c r="H11" s="267"/>
      <c r="I11" s="974" t="s">
        <v>515</v>
      </c>
      <c r="J11" s="268">
        <f>0.084*0.048</f>
        <v>4.032E-3</v>
      </c>
      <c r="K11" s="269">
        <v>1E-3</v>
      </c>
      <c r="L11" s="972">
        <v>7850</v>
      </c>
      <c r="M11" s="270">
        <v>1</v>
      </c>
      <c r="N11" s="173">
        <f>D11*E11</f>
        <v>7.1215199999999992E-2</v>
      </c>
      <c r="O11" s="112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80">
        <f>N11*M11</f>
        <v>7.1215199999999992E-2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87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15"/>
      <c r="K14" s="115"/>
      <c r="L14" s="115"/>
      <c r="M14" s="115"/>
      <c r="N14" s="115"/>
      <c r="O14" s="107"/>
    </row>
    <row r="15" spans="1:15" s="124" customFormat="1" ht="28.9" x14ac:dyDescent="0.3">
      <c r="A15" s="1081">
        <v>10</v>
      </c>
      <c r="B15" s="1082" t="s">
        <v>111</v>
      </c>
      <c r="C15" s="1082" t="s">
        <v>170</v>
      </c>
      <c r="D15" s="251">
        <v>1.3</v>
      </c>
      <c r="E15" s="1081" t="s">
        <v>24</v>
      </c>
      <c r="F15" s="1081">
        <v>1</v>
      </c>
      <c r="G15" s="1081" t="s">
        <v>514</v>
      </c>
      <c r="H15" s="1081">
        <f>1/30</f>
        <v>3.3333333333333333E-2</v>
      </c>
      <c r="I15" s="173">
        <f>IF(H15="",D15*F15,D15*F15*H15)</f>
        <v>4.3333333333333335E-2</v>
      </c>
      <c r="J15" s="122"/>
      <c r="K15" s="122"/>
      <c r="L15" s="122"/>
      <c r="M15" s="122"/>
      <c r="N15" s="122"/>
      <c r="O15" s="123"/>
    </row>
    <row r="16" spans="1:15" ht="14.45" x14ac:dyDescent="0.3">
      <c r="A16" s="1081">
        <v>20</v>
      </c>
      <c r="B16" s="1082" t="s">
        <v>92</v>
      </c>
      <c r="C16" s="1082"/>
      <c r="D16" s="251">
        <v>0.01</v>
      </c>
      <c r="E16" s="1081" t="s">
        <v>76</v>
      </c>
      <c r="F16" s="1081">
        <v>31</v>
      </c>
      <c r="G16" s="1081"/>
      <c r="H16" s="1081">
        <v>1</v>
      </c>
      <c r="I16" s="173">
        <f>F16*D16</f>
        <v>0.31</v>
      </c>
      <c r="J16" s="105"/>
      <c r="K16" s="105"/>
      <c r="L16" s="105"/>
      <c r="M16" s="105"/>
      <c r="N16" s="105"/>
      <c r="O16" s="107"/>
    </row>
    <row r="17" spans="1:15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80">
        <f>SUM(I15:I16)</f>
        <v>0.35333333333333333</v>
      </c>
      <c r="J17" s="115"/>
      <c r="K17" s="115"/>
      <c r="L17" s="115"/>
      <c r="M17" s="115"/>
      <c r="N17" s="115"/>
      <c r="O17" s="107"/>
    </row>
    <row r="18" spans="1:15" ht="14.45" x14ac:dyDescent="0.3">
      <c r="A18" s="116"/>
      <c r="B18" s="105"/>
      <c r="C18" s="105"/>
      <c r="D18" s="105"/>
      <c r="E18" s="105"/>
      <c r="F18" s="105"/>
      <c r="G18" s="105"/>
      <c r="H18" s="105"/>
      <c r="I18" s="129"/>
      <c r="J18" s="105"/>
      <c r="K18" s="105"/>
      <c r="L18" s="105"/>
      <c r="M18" s="105"/>
      <c r="N18" s="105"/>
      <c r="O18" s="107"/>
    </row>
    <row r="19" spans="1:15" thickBot="1" x14ac:dyDescent="0.35">
      <c r="A19" s="118"/>
      <c r="B19" s="119"/>
      <c r="C19" s="119"/>
      <c r="D19" s="119"/>
      <c r="E19" s="119"/>
      <c r="F19" s="119"/>
      <c r="G19" s="119"/>
      <c r="H19" s="119"/>
      <c r="I19" s="119"/>
      <c r="J19" s="119"/>
      <c r="K19" s="119"/>
      <c r="L19" s="119"/>
      <c r="M19" s="119"/>
      <c r="N19" s="119"/>
      <c r="O19" s="120"/>
    </row>
  </sheetData>
  <hyperlinks>
    <hyperlink ref="E3" location="dSU_11004" display="Drawing"/>
    <hyperlink ref="G2" location="SU_A1100_BOM" display="Back to BOM"/>
    <hyperlink ref="B4" location="SU_A1100" display="SU_A1100"/>
  </hyperlinks>
  <pageMargins left="0.31496062992125984" right="0.31496062992125984" top="0.31496062992125984" bottom="0.39370078740157483" header="0.51181102362204722" footer="0.31496062992125984"/>
  <pageSetup paperSize="9" scale="88" firstPageNumber="0" fitToHeight="99" orientation="landscape" horizontalDpi="1200" verticalDpi="1200" r:id="rId1"/>
  <rowBreaks count="2" manualBreakCount="2">
    <brk id="19" max="16383" man="1"/>
    <brk id="53" max="16383" man="1"/>
  </rowBreaks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121" t="s">
        <v>517</v>
      </c>
    </row>
  </sheetData>
  <hyperlinks>
    <hyperlink ref="B1" location="SU_11004" display="SU_11004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80" zoomScaleNormal="8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28.7109375" style="103" customWidth="1"/>
    <col min="3" max="3" width="8.85546875" style="103" customWidth="1"/>
    <col min="4" max="8" width="11.5703125" style="103"/>
    <col min="9" max="9" width="15.28515625" style="103" customWidth="1"/>
    <col min="10" max="10" width="13.7109375" style="103" customWidth="1"/>
    <col min="11" max="16" width="11.5703125" style="103"/>
    <col min="17" max="17" width="12.85546875" style="103" bestFit="1" customWidth="1"/>
    <col min="18" max="16384" width="11.5703125" style="103"/>
  </cols>
  <sheetData>
    <row r="1" spans="1:17" ht="14.45" x14ac:dyDescent="0.3">
      <c r="A1" s="75"/>
      <c r="B1" s="76"/>
      <c r="C1" s="76"/>
      <c r="D1" s="76"/>
      <c r="E1" s="76"/>
      <c r="F1" s="76"/>
      <c r="G1" s="76"/>
      <c r="H1" s="76"/>
      <c r="I1" s="76"/>
      <c r="J1" s="76"/>
      <c r="K1" s="76"/>
      <c r="L1" s="76"/>
      <c r="M1" s="76"/>
      <c r="N1" s="76"/>
      <c r="O1" s="77"/>
    </row>
    <row r="2" spans="1:17" ht="14.45" x14ac:dyDescent="0.3">
      <c r="A2" s="420" t="s">
        <v>0</v>
      </c>
      <c r="B2" s="79" t="s">
        <v>1</v>
      </c>
      <c r="C2" s="80"/>
      <c r="D2" s="80"/>
      <c r="E2" s="80"/>
      <c r="F2" s="80"/>
      <c r="G2" s="81" t="s">
        <v>2</v>
      </c>
      <c r="H2" s="80"/>
      <c r="I2" s="80"/>
      <c r="J2" s="425" t="s">
        <v>3</v>
      </c>
      <c r="K2" s="82">
        <v>81</v>
      </c>
      <c r="L2" s="80"/>
      <c r="M2" s="420" t="s">
        <v>18</v>
      </c>
      <c r="N2" s="87">
        <f>N12+I16</f>
        <v>0.47719727680000001</v>
      </c>
      <c r="O2" s="84"/>
    </row>
    <row r="3" spans="1:17" ht="14.45" x14ac:dyDescent="0.3">
      <c r="A3" s="420" t="s">
        <v>5</v>
      </c>
      <c r="B3" s="79" t="str">
        <f>'SU A0100'!B3</f>
        <v>Suspension &amp; Shocks</v>
      </c>
      <c r="C3" s="80"/>
      <c r="D3" s="420" t="s">
        <v>8</v>
      </c>
      <c r="E3" s="433" t="s">
        <v>84</v>
      </c>
      <c r="F3" s="80"/>
      <c r="G3" s="80"/>
      <c r="H3" s="80"/>
      <c r="I3" s="80"/>
      <c r="J3" s="80"/>
      <c r="K3" s="80"/>
      <c r="L3" s="80"/>
      <c r="M3" s="420" t="s">
        <v>6</v>
      </c>
      <c r="N3" s="85">
        <v>2</v>
      </c>
      <c r="O3" s="84"/>
    </row>
    <row r="4" spans="1:17" ht="14.45" x14ac:dyDescent="0.3">
      <c r="A4" s="420" t="s">
        <v>7</v>
      </c>
      <c r="B4" s="81" t="str">
        <f>'SU A0100'!B4</f>
        <v>Upper Front A-arm</v>
      </c>
      <c r="C4" s="80"/>
      <c r="D4" s="420" t="s">
        <v>10</v>
      </c>
      <c r="E4" s="80"/>
      <c r="F4" s="80"/>
      <c r="G4" s="80"/>
      <c r="H4" s="80"/>
      <c r="I4" s="80"/>
      <c r="J4" s="421" t="s">
        <v>8</v>
      </c>
      <c r="K4" s="80"/>
      <c r="L4" s="80"/>
      <c r="M4" s="80"/>
      <c r="N4" s="80"/>
      <c r="O4" s="84"/>
    </row>
    <row r="5" spans="1:17" ht="14.45" x14ac:dyDescent="0.3">
      <c r="A5" s="424" t="s">
        <v>17</v>
      </c>
      <c r="B5" s="447" t="s">
        <v>254</v>
      </c>
      <c r="C5" s="80"/>
      <c r="D5" s="420" t="s">
        <v>14</v>
      </c>
      <c r="E5" s="80"/>
      <c r="F5" s="80"/>
      <c r="G5" s="80"/>
      <c r="H5" s="80"/>
      <c r="I5" s="80"/>
      <c r="J5" s="421" t="s">
        <v>10</v>
      </c>
      <c r="K5" s="80"/>
      <c r="L5" s="80"/>
      <c r="M5" s="420" t="s">
        <v>11</v>
      </c>
      <c r="N5" s="87">
        <f>N3*N2</f>
        <v>0.95439455360000003</v>
      </c>
      <c r="O5" s="84"/>
    </row>
    <row r="6" spans="1:17" ht="14.45" x14ac:dyDescent="0.3">
      <c r="A6" s="420" t="s">
        <v>9</v>
      </c>
      <c r="B6" s="422" t="s">
        <v>253</v>
      </c>
      <c r="C6" s="80"/>
      <c r="D6" s="80"/>
      <c r="E6" s="80"/>
      <c r="F6" s="80"/>
      <c r="G6" s="80"/>
      <c r="H6" s="80"/>
      <c r="I6" s="80"/>
      <c r="J6" s="421" t="s">
        <v>14</v>
      </c>
      <c r="K6" s="80"/>
      <c r="L6" s="80"/>
      <c r="M6" s="80"/>
      <c r="N6" s="80"/>
      <c r="O6" s="84"/>
    </row>
    <row r="7" spans="1:17" ht="14.45" x14ac:dyDescent="0.3">
      <c r="A7" s="420" t="s">
        <v>12</v>
      </c>
      <c r="B7" s="79" t="s">
        <v>13</v>
      </c>
      <c r="C7" s="80"/>
      <c r="D7" s="80"/>
      <c r="E7" s="80"/>
      <c r="F7" s="80"/>
      <c r="G7" s="80"/>
      <c r="H7" s="80"/>
      <c r="I7" s="80"/>
      <c r="J7" s="80"/>
      <c r="K7" s="80"/>
      <c r="L7" s="80"/>
      <c r="M7" s="80"/>
      <c r="N7" s="80"/>
      <c r="O7" s="84"/>
    </row>
    <row r="8" spans="1:17" ht="14.45" x14ac:dyDescent="0.3">
      <c r="A8" s="420" t="s">
        <v>15</v>
      </c>
      <c r="B8" s="79"/>
      <c r="C8" s="80"/>
      <c r="D8" s="80"/>
      <c r="E8" s="80"/>
      <c r="F8" s="80"/>
      <c r="G8" s="80"/>
      <c r="H8" s="80"/>
      <c r="I8" s="80"/>
      <c r="J8" s="80"/>
      <c r="K8" s="80"/>
      <c r="L8" s="80"/>
      <c r="M8" s="80"/>
      <c r="N8" s="80"/>
      <c r="O8" s="84"/>
    </row>
    <row r="9" spans="1:17" ht="14.45" x14ac:dyDescent="0.3">
      <c r="A9" s="419"/>
      <c r="B9" s="418"/>
      <c r="C9" s="418"/>
      <c r="D9" s="418"/>
      <c r="E9" s="418"/>
      <c r="F9" s="80"/>
      <c r="G9" s="80"/>
      <c r="H9" s="80"/>
      <c r="I9" s="80"/>
      <c r="J9" s="80"/>
      <c r="K9" s="80"/>
      <c r="L9" s="80"/>
      <c r="M9" s="80"/>
      <c r="N9" s="80"/>
      <c r="O9" s="84"/>
    </row>
    <row r="10" spans="1:17" ht="14.45" x14ac:dyDescent="0.3">
      <c r="A10" s="417" t="s">
        <v>16</v>
      </c>
      <c r="B10" s="416" t="s">
        <v>38</v>
      </c>
      <c r="C10" s="416" t="s">
        <v>22</v>
      </c>
      <c r="D10" s="416" t="s">
        <v>23</v>
      </c>
      <c r="E10" s="416" t="s">
        <v>31</v>
      </c>
      <c r="F10" s="404" t="s">
        <v>32</v>
      </c>
      <c r="G10" s="404" t="s">
        <v>33</v>
      </c>
      <c r="H10" s="404" t="s">
        <v>34</v>
      </c>
      <c r="I10" s="404" t="s">
        <v>39</v>
      </c>
      <c r="J10" s="404" t="s">
        <v>40</v>
      </c>
      <c r="K10" s="404" t="s">
        <v>41</v>
      </c>
      <c r="L10" s="404" t="s">
        <v>42</v>
      </c>
      <c r="M10" s="404" t="s">
        <v>19</v>
      </c>
      <c r="N10" s="404" t="s">
        <v>20</v>
      </c>
      <c r="O10" s="84"/>
    </row>
    <row r="11" spans="1:17" s="298" customFormat="1" ht="17.45" customHeight="1" x14ac:dyDescent="0.3">
      <c r="A11" s="383">
        <v>10</v>
      </c>
      <c r="B11" s="446" t="s">
        <v>146</v>
      </c>
      <c r="C11" s="383" t="s">
        <v>147</v>
      </c>
      <c r="D11" s="205">
        <v>4.2</v>
      </c>
      <c r="E11" s="445">
        <v>12</v>
      </c>
      <c r="F11" s="383" t="s">
        <v>35</v>
      </c>
      <c r="G11" s="383"/>
      <c r="H11" s="206"/>
      <c r="I11" s="444" t="s">
        <v>252</v>
      </c>
      <c r="J11" s="443">
        <f>3.14*0.006^2</f>
        <v>1.1304E-4</v>
      </c>
      <c r="K11" s="442">
        <v>0.06</v>
      </c>
      <c r="L11" s="441">
        <v>2710</v>
      </c>
      <c r="M11" s="440">
        <v>1</v>
      </c>
      <c r="N11" s="230">
        <f>IF(J11="",D11*M11,D11*J11*K11*L11*M11)</f>
        <v>7.7197276800000006E-2</v>
      </c>
      <c r="O11" s="439"/>
    </row>
    <row r="12" spans="1:17" ht="14.45" x14ac:dyDescent="0.3">
      <c r="A12" s="93"/>
      <c r="B12" s="94"/>
      <c r="C12" s="94"/>
      <c r="D12" s="94"/>
      <c r="E12" s="94"/>
      <c r="F12" s="94"/>
      <c r="G12" s="94"/>
      <c r="H12" s="94"/>
      <c r="I12" s="94"/>
      <c r="J12" s="94"/>
      <c r="K12" s="94"/>
      <c r="L12" s="94"/>
      <c r="M12" s="406" t="s">
        <v>20</v>
      </c>
      <c r="N12" s="398">
        <f>SUM(N11:N11)</f>
        <v>7.7197276800000006E-2</v>
      </c>
      <c r="O12" s="84"/>
    </row>
    <row r="13" spans="1:17" ht="14.45" x14ac:dyDescent="0.3">
      <c r="A13" s="88"/>
      <c r="B13" s="80"/>
      <c r="C13" s="80"/>
      <c r="D13" s="80"/>
      <c r="E13" s="80"/>
      <c r="F13" s="80"/>
      <c r="G13" s="80"/>
      <c r="H13" s="80"/>
      <c r="I13" s="80"/>
      <c r="J13" s="80"/>
      <c r="K13" s="80"/>
      <c r="L13" s="80"/>
      <c r="M13" s="80"/>
      <c r="N13" s="80"/>
      <c r="O13" s="84"/>
      <c r="Q13" s="364"/>
    </row>
    <row r="14" spans="1:17" ht="14.45" x14ac:dyDescent="0.3">
      <c r="A14" s="405" t="s">
        <v>16</v>
      </c>
      <c r="B14" s="404" t="s">
        <v>21</v>
      </c>
      <c r="C14" s="404" t="s">
        <v>22</v>
      </c>
      <c r="D14" s="404" t="s">
        <v>23</v>
      </c>
      <c r="E14" s="404" t="s">
        <v>24</v>
      </c>
      <c r="F14" s="404" t="s">
        <v>19</v>
      </c>
      <c r="G14" s="404" t="s">
        <v>25</v>
      </c>
      <c r="H14" s="404" t="s">
        <v>26</v>
      </c>
      <c r="I14" s="404" t="s">
        <v>20</v>
      </c>
      <c r="J14" s="94"/>
      <c r="K14" s="94"/>
      <c r="L14" s="94"/>
      <c r="M14" s="94"/>
      <c r="N14" s="94"/>
      <c r="O14" s="84"/>
    </row>
    <row r="15" spans="1:17" ht="14.45" x14ac:dyDescent="0.3">
      <c r="A15" s="436">
        <v>10</v>
      </c>
      <c r="B15" s="227" t="s">
        <v>251</v>
      </c>
      <c r="C15" s="438"/>
      <c r="D15" s="437">
        <v>0.4</v>
      </c>
      <c r="E15" s="436" t="s">
        <v>76</v>
      </c>
      <c r="F15" s="436">
        <v>1</v>
      </c>
      <c r="G15" s="436"/>
      <c r="H15" s="436"/>
      <c r="I15" s="435">
        <f>IF(H15="",D15*F15,D15*F15*H15)</f>
        <v>0.4</v>
      </c>
      <c r="J15" s="400"/>
      <c r="K15" s="400"/>
      <c r="L15" s="400"/>
      <c r="M15" s="400"/>
      <c r="N15" s="400"/>
      <c r="O15" s="95"/>
    </row>
    <row r="16" spans="1:17" ht="14.45" x14ac:dyDescent="0.3">
      <c r="A16" s="93"/>
      <c r="B16" s="94"/>
      <c r="C16" s="94"/>
      <c r="D16" s="94"/>
      <c r="E16" s="94"/>
      <c r="F16" s="94"/>
      <c r="G16" s="94"/>
      <c r="H16" s="399" t="s">
        <v>20</v>
      </c>
      <c r="I16" s="398">
        <f>SUM(I15:I15)</f>
        <v>0.4</v>
      </c>
      <c r="J16" s="94"/>
      <c r="K16" s="94"/>
      <c r="L16" s="94"/>
      <c r="M16" s="94"/>
      <c r="N16" s="94"/>
      <c r="O16" s="84"/>
    </row>
    <row r="17" spans="1:15" thickBot="1" x14ac:dyDescent="0.35">
      <c r="A17" s="97"/>
      <c r="B17" s="98"/>
      <c r="C17" s="98"/>
      <c r="D17" s="98"/>
      <c r="E17" s="98"/>
      <c r="F17" s="98"/>
      <c r="G17" s="98"/>
      <c r="H17" s="98"/>
      <c r="I17" s="98"/>
      <c r="J17" s="98"/>
      <c r="K17" s="98"/>
      <c r="L17" s="98"/>
      <c r="M17" s="98"/>
      <c r="N17" s="98"/>
      <c r="O17" s="99"/>
    </row>
  </sheetData>
  <hyperlinks>
    <hyperlink ref="B4" location="'SU A0100'!A1" display="'SU A0100'!A1"/>
    <hyperlink ref="E3" location="dSU_01007" display="Drawing"/>
    <hyperlink ref="G2" location="SU_A0100_BOM" display="Back to BOM"/>
  </hyperlinks>
  <pageMargins left="0.31496062992125984" right="0.31496062992125984" top="0.31496062992125984" bottom="0.39370078740157483" header="0.51181102362204722" footer="0.31496062992125984"/>
  <pageSetup paperSize="9" scale="73" fitToHeight="99" orientation="landscape" horizontalDpi="1200" verticalDpi="1200" r:id="rId1"/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0"/>
  <sheetViews>
    <sheetView zoomScale="60" zoomScaleNormal="60" zoomScaleSheetLayoutView="80" zoomScalePageLayoutView="70" workbookViewId="0">
      <selection activeCell="B47" sqref="B47"/>
    </sheetView>
  </sheetViews>
  <sheetFormatPr baseColWidth="10" defaultColWidth="9.140625" defaultRowHeight="15" x14ac:dyDescent="0.25"/>
  <cols>
    <col min="1" max="1" width="9.140625" style="103"/>
    <col min="2" max="2" width="35.28515625" style="103" customWidth="1"/>
    <col min="3" max="3" width="43.140625" style="103" customWidth="1"/>
    <col min="4" max="6" width="9.140625" style="103"/>
    <col min="7" max="7" width="6.42578125" style="103" customWidth="1"/>
    <col min="8" max="8" width="9.140625" style="103" customWidth="1"/>
    <col min="9" max="9" width="13.7109375" style="103" customWidth="1"/>
    <col min="10" max="10" width="9.140625" style="103"/>
    <col min="11" max="11" width="8.42578125" style="103" customWidth="1"/>
    <col min="12" max="12" width="7.42578125" style="103" customWidth="1"/>
    <col min="13" max="13" width="9.140625" style="103"/>
    <col min="14" max="14" width="13" style="103" bestFit="1" customWidth="1"/>
    <col min="15" max="15" width="5.28515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06" t="s">
        <v>0</v>
      </c>
      <c r="B2" s="104" t="s">
        <v>1</v>
      </c>
      <c r="C2" s="105"/>
      <c r="D2" s="105"/>
      <c r="E2" s="58" t="s">
        <v>2</v>
      </c>
      <c r="F2" s="105"/>
      <c r="G2" s="105"/>
      <c r="H2" s="105"/>
      <c r="I2" s="105"/>
      <c r="J2" s="306" t="s">
        <v>3</v>
      </c>
      <c r="K2" s="106">
        <v>81</v>
      </c>
      <c r="L2" s="105"/>
      <c r="M2" s="306" t="s">
        <v>4</v>
      </c>
      <c r="N2" s="59">
        <f>SU_A1200_pa+SU_A1200_m+SU_A1200_p+SU_A1200_f+SU_A1200_t</f>
        <v>15.306341873498306</v>
      </c>
      <c r="O2" s="107"/>
    </row>
    <row r="3" spans="1:15" ht="14.45" x14ac:dyDescent="0.3">
      <c r="A3" s="306" t="s">
        <v>5</v>
      </c>
      <c r="B3" s="104" t="s">
        <v>106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306" t="s">
        <v>6</v>
      </c>
      <c r="N3" s="47">
        <v>2</v>
      </c>
      <c r="O3" s="107"/>
    </row>
    <row r="4" spans="1:15" ht="14.45" x14ac:dyDescent="0.3">
      <c r="A4" s="306" t="s">
        <v>7</v>
      </c>
      <c r="B4" s="129" t="s">
        <v>520</v>
      </c>
      <c r="C4" s="864"/>
      <c r="D4" s="105"/>
      <c r="E4" s="105"/>
      <c r="F4" s="105"/>
      <c r="G4" s="105"/>
      <c r="H4" s="105"/>
      <c r="I4" s="105"/>
      <c r="J4" s="357" t="s">
        <v>8</v>
      </c>
      <c r="K4" s="105"/>
      <c r="L4" s="105"/>
      <c r="M4" s="105"/>
      <c r="N4" s="105"/>
      <c r="O4" s="107"/>
    </row>
    <row r="5" spans="1:15" ht="14.45" x14ac:dyDescent="0.3">
      <c r="A5" s="306" t="s">
        <v>9</v>
      </c>
      <c r="B5" s="108" t="s">
        <v>519</v>
      </c>
      <c r="C5" s="105"/>
      <c r="D5" s="105"/>
      <c r="E5" s="105"/>
      <c r="F5" s="105"/>
      <c r="G5" s="105"/>
      <c r="H5" s="105"/>
      <c r="I5" s="105"/>
      <c r="J5" s="357" t="s">
        <v>10</v>
      </c>
      <c r="K5" s="105"/>
      <c r="L5" s="105"/>
      <c r="M5" s="306" t="s">
        <v>11</v>
      </c>
      <c r="N5" s="67">
        <f>N2*SU_A1200_q</f>
        <v>30.612683746996613</v>
      </c>
      <c r="O5" s="107"/>
    </row>
    <row r="6" spans="1:15" ht="14.45" x14ac:dyDescent="0.3">
      <c r="A6" s="306" t="s">
        <v>12</v>
      </c>
      <c r="B6" s="104" t="s">
        <v>13</v>
      </c>
      <c r="C6" s="105"/>
      <c r="D6" s="105"/>
      <c r="E6" s="105"/>
      <c r="F6" s="105"/>
      <c r="G6" s="105"/>
      <c r="H6" s="105"/>
      <c r="I6" s="105"/>
      <c r="J6" s="357" t="s">
        <v>14</v>
      </c>
      <c r="K6" s="105"/>
      <c r="L6" s="105"/>
      <c r="M6" s="105"/>
      <c r="N6" s="105"/>
      <c r="O6" s="107"/>
    </row>
    <row r="7" spans="1:15" ht="14.45" x14ac:dyDescent="0.3">
      <c r="A7" s="306" t="s">
        <v>15</v>
      </c>
      <c r="B7" s="104" t="s">
        <v>518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116"/>
      <c r="B8" s="105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317" t="s">
        <v>16</v>
      </c>
      <c r="B9" s="317" t="s">
        <v>17</v>
      </c>
      <c r="C9" s="317" t="s">
        <v>18</v>
      </c>
      <c r="D9" s="317" t="s">
        <v>19</v>
      </c>
      <c r="E9" s="317" t="s">
        <v>20</v>
      </c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39">
        <v>10</v>
      </c>
      <c r="B10" s="188" t="str">
        <f>'SU 12001'!B5</f>
        <v>Pullrod insert</v>
      </c>
      <c r="C10" s="167">
        <f>'SU 12001'!N2</f>
        <v>1.446357098494115</v>
      </c>
      <c r="D10" s="840">
        <v>2</v>
      </c>
      <c r="E10" s="167">
        <f>C10*D10</f>
        <v>2.89271419698823</v>
      </c>
      <c r="F10" s="105"/>
      <c r="G10" s="105"/>
      <c r="H10" s="105"/>
      <c r="I10" s="105"/>
      <c r="J10" s="105"/>
      <c r="K10" s="105"/>
      <c r="L10" s="105"/>
      <c r="M10" s="105"/>
      <c r="N10" s="105"/>
      <c r="O10" s="107"/>
    </row>
    <row r="11" spans="1:15" ht="14.45" x14ac:dyDescent="0.3">
      <c r="A11" s="339">
        <v>20</v>
      </c>
      <c r="B11" s="188" t="str">
        <f>'SU 12002'!B5</f>
        <v>Pullrod tube</v>
      </c>
      <c r="C11" s="167">
        <f>'SU 12002'!N2</f>
        <v>0.38230955799182426</v>
      </c>
      <c r="D11" s="840">
        <v>1</v>
      </c>
      <c r="E11" s="167">
        <f>C11*D11</f>
        <v>0.38230955799182426</v>
      </c>
      <c r="F11" s="105"/>
      <c r="G11" s="105"/>
      <c r="H11" s="105"/>
      <c r="I11" s="105"/>
      <c r="J11" s="105"/>
      <c r="K11" s="105"/>
      <c r="L11" s="105"/>
      <c r="M11" s="105"/>
      <c r="N11" s="105"/>
      <c r="O11" s="107"/>
    </row>
    <row r="12" spans="1:15" ht="14.45" x14ac:dyDescent="0.3">
      <c r="A12" s="339">
        <v>30</v>
      </c>
      <c r="B12" s="992" t="str">
        <f>'SU 12003'!B5</f>
        <v>Spacer 1</v>
      </c>
      <c r="C12" s="167">
        <f>'SU 12003'!N2</f>
        <v>0.34825628167808953</v>
      </c>
      <c r="D12" s="840">
        <f>SU_12003_q</f>
        <v>2</v>
      </c>
      <c r="E12" s="167">
        <f t="shared" ref="E12:E13" si="0">C12*D12</f>
        <v>0.69651256335617906</v>
      </c>
      <c r="F12" s="105"/>
      <c r="G12" s="105"/>
      <c r="H12" s="105"/>
      <c r="I12" s="105"/>
      <c r="J12" s="105"/>
      <c r="K12" s="105"/>
      <c r="L12" s="105"/>
      <c r="M12" s="105"/>
      <c r="N12" s="105"/>
      <c r="O12" s="107"/>
    </row>
    <row r="13" spans="1:15" ht="14.45" x14ac:dyDescent="0.3">
      <c r="A13" s="339">
        <v>40</v>
      </c>
      <c r="B13" s="992" t="str">
        <f>'SU 12004'!B5</f>
        <v>Spacer 2</v>
      </c>
      <c r="C13" s="167">
        <f>'SU 12004'!N2</f>
        <v>0.34825628167808953</v>
      </c>
      <c r="D13" s="840">
        <f>SU_12004_q</f>
        <v>2</v>
      </c>
      <c r="E13" s="167">
        <f t="shared" si="0"/>
        <v>0.69651256335617906</v>
      </c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116"/>
      <c r="B14" s="105"/>
      <c r="C14" s="105"/>
      <c r="D14" s="308" t="s">
        <v>20</v>
      </c>
      <c r="E14" s="307">
        <f>SUM(E10:E13)</f>
        <v>4.6680488816924122</v>
      </c>
      <c r="F14" s="129"/>
      <c r="G14" s="129"/>
      <c r="H14" s="129"/>
      <c r="I14" s="129"/>
      <c r="J14" s="129"/>
      <c r="K14" s="129"/>
      <c r="L14" s="129"/>
      <c r="M14" s="129"/>
      <c r="N14" s="129"/>
      <c r="O14" s="107"/>
    </row>
    <row r="15" spans="1:15" ht="14.45" x14ac:dyDescent="0.3">
      <c r="A15" s="116"/>
      <c r="B15" s="105"/>
      <c r="C15" s="105"/>
      <c r="D15" s="105"/>
      <c r="E15" s="105"/>
      <c r="F15" s="105"/>
      <c r="G15" s="105"/>
      <c r="H15" s="105"/>
      <c r="I15" s="105"/>
      <c r="J15" s="105"/>
      <c r="K15" s="105"/>
      <c r="L15" s="105"/>
      <c r="M15" s="105"/>
      <c r="N15" s="105"/>
      <c r="O15" s="107"/>
    </row>
    <row r="16" spans="1:15" ht="14.45" x14ac:dyDescent="0.3">
      <c r="A16" s="306" t="s">
        <v>16</v>
      </c>
      <c r="B16" s="306" t="s">
        <v>38</v>
      </c>
      <c r="C16" s="306" t="s">
        <v>22</v>
      </c>
      <c r="D16" s="306" t="s">
        <v>23</v>
      </c>
      <c r="E16" s="306" t="s">
        <v>31</v>
      </c>
      <c r="F16" s="306" t="s">
        <v>32</v>
      </c>
      <c r="G16" s="306" t="s">
        <v>33</v>
      </c>
      <c r="H16" s="306" t="s">
        <v>34</v>
      </c>
      <c r="I16" s="306" t="s">
        <v>39</v>
      </c>
      <c r="J16" s="306" t="s">
        <v>40</v>
      </c>
      <c r="K16" s="306" t="s">
        <v>41</v>
      </c>
      <c r="L16" s="306" t="s">
        <v>42</v>
      </c>
      <c r="M16" s="306" t="s">
        <v>19</v>
      </c>
      <c r="N16" s="306" t="s">
        <v>20</v>
      </c>
      <c r="O16" s="107"/>
    </row>
    <row r="17" spans="1:15" ht="14.45" x14ac:dyDescent="0.3">
      <c r="A17" s="1205">
        <v>10</v>
      </c>
      <c r="B17" s="1247" t="s">
        <v>75</v>
      </c>
      <c r="C17" s="1205" t="s">
        <v>541</v>
      </c>
      <c r="D17" s="242">
        <v>10</v>
      </c>
      <c r="E17" s="1205">
        <v>2.7E-2</v>
      </c>
      <c r="F17" s="1205" t="s">
        <v>73</v>
      </c>
      <c r="G17" s="1205"/>
      <c r="H17" s="232"/>
      <c r="I17" s="1206"/>
      <c r="J17" s="233"/>
      <c r="K17" s="232"/>
      <c r="L17" s="232"/>
      <c r="M17" s="233">
        <v>1</v>
      </c>
      <c r="N17" s="1207">
        <f>M17*E17*D17</f>
        <v>0.27</v>
      </c>
      <c r="O17" s="107"/>
    </row>
    <row r="18" spans="1:15" s="113" customFormat="1" ht="14.45" x14ac:dyDescent="0.3">
      <c r="A18" s="1205">
        <v>20</v>
      </c>
      <c r="B18" s="1205" t="s">
        <v>127</v>
      </c>
      <c r="C18" s="1205" t="s">
        <v>542</v>
      </c>
      <c r="D18" s="242">
        <v>2.5</v>
      </c>
      <c r="E18" s="1205">
        <v>8</v>
      </c>
      <c r="F18" s="1205" t="s">
        <v>35</v>
      </c>
      <c r="G18" s="1205"/>
      <c r="H18" s="232"/>
      <c r="I18" s="1206" t="s">
        <v>129</v>
      </c>
      <c r="J18" s="233"/>
      <c r="K18" s="232"/>
      <c r="L18" s="232"/>
      <c r="M18" s="233">
        <v>1</v>
      </c>
      <c r="N18" s="1207">
        <f>IF(J18="",D18*M18,D18*J18*K18*L18*M18)</f>
        <v>2.5</v>
      </c>
      <c r="O18" s="112"/>
    </row>
    <row r="19" spans="1:15" s="113" customFormat="1" ht="14.45" x14ac:dyDescent="0.3">
      <c r="A19" s="1205">
        <v>30</v>
      </c>
      <c r="B19" s="1205" t="s">
        <v>127</v>
      </c>
      <c r="C19" s="1205" t="s">
        <v>543</v>
      </c>
      <c r="D19" s="242">
        <v>2.5</v>
      </c>
      <c r="E19" s="1205">
        <v>8</v>
      </c>
      <c r="F19" s="1205" t="s">
        <v>35</v>
      </c>
      <c r="G19" s="1205"/>
      <c r="H19" s="232"/>
      <c r="I19" s="1208" t="s">
        <v>129</v>
      </c>
      <c r="J19" s="233"/>
      <c r="K19" s="232"/>
      <c r="L19" s="235"/>
      <c r="M19" s="233">
        <v>1</v>
      </c>
      <c r="N19" s="1207">
        <f>IF(J19="",D19*M19,D19*J19*K19*L19*M19)</f>
        <v>2.5</v>
      </c>
      <c r="O19" s="112"/>
    </row>
    <row r="20" spans="1:15" ht="14.45" x14ac:dyDescent="0.3">
      <c r="A20" s="114"/>
      <c r="B20" s="991"/>
      <c r="C20" s="115"/>
      <c r="D20" s="115"/>
      <c r="E20" s="115"/>
      <c r="F20" s="115"/>
      <c r="G20" s="115"/>
      <c r="H20" s="115"/>
      <c r="I20" s="115"/>
      <c r="J20" s="115"/>
      <c r="K20" s="115"/>
      <c r="L20" s="115"/>
      <c r="M20" s="306" t="s">
        <v>20</v>
      </c>
      <c r="N20" s="318">
        <f>SUM(N17:N19)</f>
        <v>5.27</v>
      </c>
      <c r="O20" s="107"/>
    </row>
    <row r="21" spans="1:15" ht="14.45" x14ac:dyDescent="0.3">
      <c r="A21" s="116"/>
      <c r="B21" s="105"/>
      <c r="C21" s="105"/>
      <c r="D21" s="105"/>
      <c r="E21" s="105"/>
      <c r="F21" s="105"/>
      <c r="G21" s="105"/>
      <c r="H21" s="105"/>
      <c r="I21" s="105"/>
      <c r="J21" s="105"/>
      <c r="K21" s="105"/>
      <c r="L21" s="105"/>
      <c r="M21" s="105"/>
      <c r="N21" s="105"/>
      <c r="O21" s="107"/>
    </row>
    <row r="22" spans="1:15" s="124" customFormat="1" ht="14.45" x14ac:dyDescent="0.3">
      <c r="A22" s="306" t="s">
        <v>16</v>
      </c>
      <c r="B22" s="306" t="s">
        <v>21</v>
      </c>
      <c r="C22" s="306" t="s">
        <v>22</v>
      </c>
      <c r="D22" s="306" t="s">
        <v>23</v>
      </c>
      <c r="E22" s="306" t="s">
        <v>24</v>
      </c>
      <c r="F22" s="306" t="s">
        <v>19</v>
      </c>
      <c r="G22" s="306" t="s">
        <v>25</v>
      </c>
      <c r="H22" s="306" t="s">
        <v>26</v>
      </c>
      <c r="I22" s="306" t="s">
        <v>20</v>
      </c>
      <c r="J22" s="115"/>
      <c r="K22" s="115"/>
      <c r="L22" s="115"/>
      <c r="M22" s="115"/>
      <c r="N22" s="115"/>
      <c r="O22" s="123"/>
    </row>
    <row r="23" spans="1:15" ht="14.45" x14ac:dyDescent="0.3">
      <c r="A23" s="1205">
        <v>10</v>
      </c>
      <c r="B23" s="1246" t="s">
        <v>86</v>
      </c>
      <c r="C23" s="1209" t="s">
        <v>544</v>
      </c>
      <c r="D23" s="242">
        <v>0.15</v>
      </c>
      <c r="E23" s="1205" t="s">
        <v>76</v>
      </c>
      <c r="F23" s="1205">
        <v>3</v>
      </c>
      <c r="G23" s="1205" t="s">
        <v>204</v>
      </c>
      <c r="H23" s="1205">
        <v>2</v>
      </c>
      <c r="I23" s="242">
        <f t="shared" ref="I23:I35" si="1">D23*F23*H23</f>
        <v>0.89999999999999991</v>
      </c>
      <c r="J23" s="105"/>
      <c r="K23" s="105"/>
      <c r="L23" s="105"/>
      <c r="M23" s="105"/>
      <c r="N23" s="105"/>
      <c r="O23" s="107"/>
    </row>
    <row r="24" spans="1:15" ht="14.45" x14ac:dyDescent="0.3">
      <c r="A24" s="1205">
        <v>20</v>
      </c>
      <c r="B24" s="1246" t="s">
        <v>155</v>
      </c>
      <c r="C24" s="1209" t="s">
        <v>545</v>
      </c>
      <c r="D24" s="242">
        <v>5.25</v>
      </c>
      <c r="E24" s="1205" t="s">
        <v>73</v>
      </c>
      <c r="F24" s="1205">
        <v>2.7E-2</v>
      </c>
      <c r="G24" s="1205"/>
      <c r="H24" s="1205">
        <v>1</v>
      </c>
      <c r="I24" s="242">
        <f t="shared" si="1"/>
        <v>0.14174999999999999</v>
      </c>
      <c r="J24" s="105"/>
      <c r="K24" s="105"/>
      <c r="L24" s="105"/>
      <c r="M24" s="105"/>
      <c r="N24" s="105"/>
      <c r="O24" s="107"/>
    </row>
    <row r="25" spans="1:15" ht="14.45" x14ac:dyDescent="0.3">
      <c r="A25" s="1205">
        <v>30</v>
      </c>
      <c r="B25" s="1210" t="s">
        <v>101</v>
      </c>
      <c r="C25" s="1209" t="s">
        <v>134</v>
      </c>
      <c r="D25" s="242">
        <v>0.12</v>
      </c>
      <c r="E25" s="1205" t="s">
        <v>72</v>
      </c>
      <c r="F25" s="1205">
        <v>1</v>
      </c>
      <c r="G25" s="1205"/>
      <c r="H25" s="1205">
        <v>1</v>
      </c>
      <c r="I25" s="242">
        <f t="shared" si="1"/>
        <v>0.12</v>
      </c>
      <c r="J25" s="105"/>
      <c r="K25" s="105"/>
      <c r="L25" s="105"/>
      <c r="M25" s="105"/>
      <c r="N25" s="105"/>
      <c r="O25" s="107"/>
    </row>
    <row r="26" spans="1:15" ht="14.45" x14ac:dyDescent="0.3">
      <c r="A26" s="1205">
        <v>40</v>
      </c>
      <c r="B26" s="1210" t="s">
        <v>135</v>
      </c>
      <c r="C26" s="1209" t="s">
        <v>546</v>
      </c>
      <c r="D26" s="242">
        <v>0.5</v>
      </c>
      <c r="E26" s="1205" t="s">
        <v>72</v>
      </c>
      <c r="F26" s="1205">
        <v>1</v>
      </c>
      <c r="G26" s="1205"/>
      <c r="H26" s="1205">
        <v>1</v>
      </c>
      <c r="I26" s="242">
        <f t="shared" si="1"/>
        <v>0.5</v>
      </c>
      <c r="J26" s="105"/>
      <c r="K26" s="105"/>
      <c r="L26" s="105"/>
      <c r="M26" s="105"/>
      <c r="N26" s="105"/>
      <c r="O26" s="107"/>
    </row>
    <row r="27" spans="1:15" ht="14.45" x14ac:dyDescent="0.3">
      <c r="A27" s="1205">
        <v>50</v>
      </c>
      <c r="B27" s="1210" t="s">
        <v>28</v>
      </c>
      <c r="C27" s="1209" t="s">
        <v>136</v>
      </c>
      <c r="D27" s="242">
        <v>0.75</v>
      </c>
      <c r="E27" s="1205" t="s">
        <v>72</v>
      </c>
      <c r="F27" s="1205">
        <v>1</v>
      </c>
      <c r="G27" s="1205"/>
      <c r="H27" s="1205">
        <v>1</v>
      </c>
      <c r="I27" s="242">
        <f>D27*F27*H27</f>
        <v>0.75</v>
      </c>
      <c r="J27" s="105"/>
      <c r="K27" s="105"/>
      <c r="L27" s="105"/>
      <c r="M27" s="105"/>
      <c r="N27" s="105"/>
      <c r="O27" s="107"/>
    </row>
    <row r="28" spans="1:15" ht="14.45" x14ac:dyDescent="0.3">
      <c r="A28" s="1205">
        <v>60</v>
      </c>
      <c r="B28" s="1210" t="s">
        <v>137</v>
      </c>
      <c r="C28" s="1209" t="s">
        <v>136</v>
      </c>
      <c r="D28" s="242">
        <v>0.25</v>
      </c>
      <c r="E28" s="1205" t="s">
        <v>72</v>
      </c>
      <c r="F28" s="1205">
        <v>1</v>
      </c>
      <c r="G28" s="1205"/>
      <c r="H28" s="1205">
        <v>1</v>
      </c>
      <c r="I28" s="242">
        <f>D28*F28*H28</f>
        <v>0.25</v>
      </c>
      <c r="J28" s="105"/>
      <c r="K28" s="105"/>
      <c r="L28" s="105"/>
      <c r="M28" s="105"/>
      <c r="N28" s="105"/>
      <c r="O28" s="107"/>
    </row>
    <row r="29" spans="1:15" ht="14.45" x14ac:dyDescent="0.3">
      <c r="A29" s="1205">
        <v>70</v>
      </c>
      <c r="B29" s="1209" t="s">
        <v>97</v>
      </c>
      <c r="C29" s="1209" t="s">
        <v>547</v>
      </c>
      <c r="D29" s="242">
        <v>0.06</v>
      </c>
      <c r="E29" s="1205" t="s">
        <v>72</v>
      </c>
      <c r="F29" s="1205">
        <v>1</v>
      </c>
      <c r="G29" s="1205"/>
      <c r="H29" s="1205">
        <v>1</v>
      </c>
      <c r="I29" s="242">
        <f t="shared" si="1"/>
        <v>0.06</v>
      </c>
      <c r="J29" s="105"/>
      <c r="K29" s="105"/>
      <c r="L29" s="105"/>
      <c r="M29" s="105"/>
      <c r="N29" s="105"/>
      <c r="O29" s="107"/>
    </row>
    <row r="30" spans="1:15" ht="14.45" x14ac:dyDescent="0.3">
      <c r="A30" s="1205">
        <v>80</v>
      </c>
      <c r="B30" s="1210" t="s">
        <v>101</v>
      </c>
      <c r="C30" s="1209" t="s">
        <v>548</v>
      </c>
      <c r="D30" s="242">
        <v>0.12</v>
      </c>
      <c r="E30" s="1205" t="s">
        <v>72</v>
      </c>
      <c r="F30" s="1205">
        <v>1</v>
      </c>
      <c r="G30" s="1205"/>
      <c r="H30" s="1205">
        <v>1</v>
      </c>
      <c r="I30" s="242">
        <f t="shared" si="1"/>
        <v>0.12</v>
      </c>
      <c r="J30" s="105"/>
      <c r="K30" s="105"/>
      <c r="L30" s="105"/>
      <c r="M30" s="105"/>
      <c r="N30" s="105"/>
      <c r="O30" s="107"/>
    </row>
    <row r="31" spans="1:15" ht="14.45" x14ac:dyDescent="0.3">
      <c r="A31" s="1205">
        <v>90</v>
      </c>
      <c r="B31" s="1205" t="s">
        <v>97</v>
      </c>
      <c r="C31" s="1209" t="s">
        <v>549</v>
      </c>
      <c r="D31" s="242">
        <v>0.06</v>
      </c>
      <c r="E31" s="1205" t="s">
        <v>72</v>
      </c>
      <c r="F31" s="1205">
        <v>1</v>
      </c>
      <c r="G31" s="1205"/>
      <c r="H31" s="1205">
        <v>1</v>
      </c>
      <c r="I31" s="242">
        <f t="shared" si="1"/>
        <v>0.06</v>
      </c>
      <c r="J31" s="105"/>
      <c r="K31" s="105"/>
      <c r="L31" s="105"/>
      <c r="M31" s="105"/>
      <c r="N31" s="105"/>
      <c r="O31" s="107"/>
    </row>
    <row r="32" spans="1:15" s="149" customFormat="1" ht="14.45" x14ac:dyDescent="0.3">
      <c r="A32" s="1205">
        <v>100</v>
      </c>
      <c r="B32" s="1210" t="s">
        <v>101</v>
      </c>
      <c r="C32" s="1209" t="s">
        <v>550</v>
      </c>
      <c r="D32" s="242">
        <v>0.12</v>
      </c>
      <c r="E32" s="1205" t="s">
        <v>72</v>
      </c>
      <c r="F32" s="1205">
        <v>1</v>
      </c>
      <c r="G32" s="1205"/>
      <c r="H32" s="1205">
        <v>1</v>
      </c>
      <c r="I32" s="242">
        <f t="shared" si="1"/>
        <v>0.12</v>
      </c>
      <c r="J32" s="129"/>
      <c r="K32" s="129"/>
      <c r="L32" s="129"/>
      <c r="M32" s="129"/>
      <c r="N32" s="129"/>
      <c r="O32" s="148"/>
    </row>
    <row r="33" spans="1:15" s="124" customFormat="1" ht="14.45" x14ac:dyDescent="0.3">
      <c r="A33" s="1205">
        <v>110</v>
      </c>
      <c r="B33" s="1210" t="s">
        <v>101</v>
      </c>
      <c r="C33" s="1209" t="s">
        <v>142</v>
      </c>
      <c r="D33" s="242">
        <v>0.12</v>
      </c>
      <c r="E33" s="1205" t="s">
        <v>72</v>
      </c>
      <c r="F33" s="1205">
        <v>1</v>
      </c>
      <c r="G33" s="1205"/>
      <c r="H33" s="1205">
        <v>1</v>
      </c>
      <c r="I33" s="242">
        <f t="shared" si="1"/>
        <v>0.12</v>
      </c>
      <c r="J33" s="129"/>
      <c r="K33" s="129"/>
      <c r="L33" s="129"/>
      <c r="M33" s="129"/>
      <c r="N33" s="129"/>
      <c r="O33" s="123"/>
    </row>
    <row r="34" spans="1:15" s="124" customFormat="1" ht="14.45" x14ac:dyDescent="0.3">
      <c r="A34" s="1205">
        <v>120</v>
      </c>
      <c r="B34" s="1210" t="s">
        <v>28</v>
      </c>
      <c r="C34" s="1209" t="s">
        <v>136</v>
      </c>
      <c r="D34" s="242">
        <v>0.75</v>
      </c>
      <c r="E34" s="1205" t="s">
        <v>72</v>
      </c>
      <c r="F34" s="1205">
        <v>1</v>
      </c>
      <c r="G34" s="1205"/>
      <c r="H34" s="1205">
        <v>1</v>
      </c>
      <c r="I34" s="242">
        <f>D34*F34*H34</f>
        <v>0.75</v>
      </c>
      <c r="J34" s="129"/>
      <c r="K34" s="129"/>
      <c r="L34" s="129"/>
      <c r="M34" s="129"/>
      <c r="N34" s="129"/>
      <c r="O34" s="123"/>
    </row>
    <row r="35" spans="1:15" s="149" customFormat="1" ht="14.45" customHeight="1" x14ac:dyDescent="0.3">
      <c r="A35" s="1205">
        <v>130</v>
      </c>
      <c r="B35" s="1210" t="s">
        <v>137</v>
      </c>
      <c r="C35" s="1209" t="s">
        <v>136</v>
      </c>
      <c r="D35" s="242">
        <v>0.25</v>
      </c>
      <c r="E35" s="1205" t="s">
        <v>72</v>
      </c>
      <c r="F35" s="1205">
        <v>1</v>
      </c>
      <c r="G35" s="1205"/>
      <c r="H35" s="1205">
        <v>1</v>
      </c>
      <c r="I35" s="242">
        <f t="shared" si="1"/>
        <v>0.25</v>
      </c>
      <c r="J35" s="129"/>
      <c r="K35" s="129"/>
      <c r="L35" s="129"/>
      <c r="M35" s="129"/>
      <c r="N35" s="129"/>
      <c r="O35" s="148"/>
    </row>
    <row r="36" spans="1:15" ht="14.45" x14ac:dyDescent="0.3">
      <c r="A36" s="114"/>
      <c r="B36" s="115"/>
      <c r="C36" s="115"/>
      <c r="D36" s="115"/>
      <c r="E36" s="115"/>
      <c r="F36" s="115"/>
      <c r="G36" s="115"/>
      <c r="H36" s="319" t="s">
        <v>20</v>
      </c>
      <c r="I36" s="318">
        <f>SUM(I23:I35)</f>
        <v>4.14175</v>
      </c>
      <c r="J36" s="105"/>
      <c r="K36" s="105"/>
      <c r="L36" s="105"/>
      <c r="M36" s="105"/>
      <c r="N36" s="105"/>
      <c r="O36" s="107"/>
    </row>
    <row r="37" spans="1:15" ht="14.45" x14ac:dyDescent="0.3">
      <c r="A37" s="116"/>
      <c r="B37" s="105"/>
      <c r="C37" s="105"/>
      <c r="D37" s="105"/>
      <c r="E37" s="105"/>
      <c r="F37" s="105"/>
      <c r="G37" s="105"/>
      <c r="H37" s="105"/>
      <c r="I37" s="105"/>
      <c r="J37" s="105"/>
      <c r="K37" s="105"/>
      <c r="L37" s="105"/>
      <c r="M37" s="105"/>
      <c r="N37" s="105"/>
      <c r="O37" s="107"/>
    </row>
    <row r="38" spans="1:15" ht="14.45" x14ac:dyDescent="0.3">
      <c r="A38" s="306" t="s">
        <v>16</v>
      </c>
      <c r="B38" s="306" t="s">
        <v>30</v>
      </c>
      <c r="C38" s="306" t="s">
        <v>22</v>
      </c>
      <c r="D38" s="306" t="s">
        <v>23</v>
      </c>
      <c r="E38" s="306" t="s">
        <v>31</v>
      </c>
      <c r="F38" s="306" t="s">
        <v>32</v>
      </c>
      <c r="G38" s="306" t="s">
        <v>33</v>
      </c>
      <c r="H38" s="306" t="s">
        <v>34</v>
      </c>
      <c r="I38" s="306" t="s">
        <v>19</v>
      </c>
      <c r="J38" s="306" t="s">
        <v>20</v>
      </c>
      <c r="K38" s="105"/>
      <c r="L38" s="105"/>
      <c r="M38" s="105"/>
      <c r="N38" s="105"/>
      <c r="O38" s="107"/>
    </row>
    <row r="39" spans="1:15" ht="14.45" x14ac:dyDescent="0.3">
      <c r="A39" s="134">
        <v>10</v>
      </c>
      <c r="B39" s="134" t="s">
        <v>71</v>
      </c>
      <c r="C39" s="134" t="s">
        <v>559</v>
      </c>
      <c r="D39" s="137">
        <f>0.8/105154*E39^2*G39*SQRT(G39)+0.003*EXP(0.319*E39)</f>
        <v>0.18547981844542938</v>
      </c>
      <c r="E39" s="49">
        <v>8</v>
      </c>
      <c r="F39" s="49" t="s">
        <v>35</v>
      </c>
      <c r="G39" s="49">
        <v>45</v>
      </c>
      <c r="H39" s="49" t="s">
        <v>35</v>
      </c>
      <c r="I39" s="47">
        <v>1</v>
      </c>
      <c r="J39" s="46">
        <f>D39*I39</f>
        <v>0.18547981844542938</v>
      </c>
      <c r="K39" s="105"/>
      <c r="L39" s="105"/>
      <c r="M39" s="105"/>
      <c r="N39" s="105"/>
      <c r="O39" s="107"/>
    </row>
    <row r="40" spans="1:15" ht="14.45" x14ac:dyDescent="0.3">
      <c r="A40" s="134">
        <f>A39+10</f>
        <v>20</v>
      </c>
      <c r="B40" s="134" t="s">
        <v>71</v>
      </c>
      <c r="C40" s="134" t="s">
        <v>560</v>
      </c>
      <c r="D40" s="137">
        <f>0.8/105154*E40^2*G40*SQRT(G40)+0.003*EXP(0.319*E40)</f>
        <v>0.18547981844542938</v>
      </c>
      <c r="E40" s="49">
        <v>8</v>
      </c>
      <c r="F40" s="49" t="s">
        <v>35</v>
      </c>
      <c r="G40" s="49">
        <v>45</v>
      </c>
      <c r="H40" s="49" t="s">
        <v>35</v>
      </c>
      <c r="I40" s="47">
        <v>1</v>
      </c>
      <c r="J40" s="46">
        <f>D40*I40</f>
        <v>0.18547981844542938</v>
      </c>
      <c r="K40" s="105"/>
      <c r="L40" s="105"/>
      <c r="M40" s="105"/>
      <c r="N40" s="105"/>
      <c r="O40" s="107"/>
    </row>
    <row r="41" spans="1:15" x14ac:dyDescent="0.25">
      <c r="A41" s="134">
        <f>A40+10</f>
        <v>30</v>
      </c>
      <c r="B41" s="134" t="s">
        <v>37</v>
      </c>
      <c r="C41" s="134"/>
      <c r="D41" s="137">
        <v>0.01</v>
      </c>
      <c r="E41" s="134">
        <v>8</v>
      </c>
      <c r="F41" s="48" t="s">
        <v>72</v>
      </c>
      <c r="G41" s="134"/>
      <c r="H41" s="134"/>
      <c r="I41" s="47">
        <v>4</v>
      </c>
      <c r="J41" s="46">
        <f>D41*I41</f>
        <v>0.04</v>
      </c>
      <c r="K41" s="105"/>
      <c r="L41" s="105"/>
      <c r="M41" s="105"/>
      <c r="N41" s="105"/>
      <c r="O41" s="107"/>
    </row>
    <row r="42" spans="1:15" x14ac:dyDescent="0.25">
      <c r="A42" s="134">
        <f>A41+10</f>
        <v>40</v>
      </c>
      <c r="B42" s="134" t="s">
        <v>36</v>
      </c>
      <c r="C42" s="134" t="s">
        <v>143</v>
      </c>
      <c r="D42" s="137">
        <f>0.009*EXP(0.2*E42)</f>
        <v>2.9881052304628931E-2</v>
      </c>
      <c r="E42" s="134">
        <v>6</v>
      </c>
      <c r="F42" s="48" t="s">
        <v>35</v>
      </c>
      <c r="G42" s="134"/>
      <c r="H42" s="134"/>
      <c r="I42" s="47">
        <v>2</v>
      </c>
      <c r="J42" s="46">
        <f>D42*I42</f>
        <v>5.9762104609257863E-2</v>
      </c>
      <c r="K42" s="105"/>
      <c r="L42" s="105"/>
      <c r="M42" s="105"/>
      <c r="N42" s="105"/>
      <c r="O42" s="107"/>
    </row>
    <row r="43" spans="1:15" x14ac:dyDescent="0.25">
      <c r="A43" s="134">
        <f>A42+10</f>
        <v>50</v>
      </c>
      <c r="B43" s="134" t="s">
        <v>36</v>
      </c>
      <c r="C43" s="134" t="s">
        <v>144</v>
      </c>
      <c r="D43" s="137">
        <f>0.009*EXP(0.2*E43)</f>
        <v>4.4577291819556032E-2</v>
      </c>
      <c r="E43" s="134">
        <v>8</v>
      </c>
      <c r="F43" s="48" t="s">
        <v>35</v>
      </c>
      <c r="G43" s="134"/>
      <c r="H43" s="134"/>
      <c r="I43" s="47">
        <v>2</v>
      </c>
      <c r="J43" s="46">
        <f>D43*I43</f>
        <v>8.9154583639112064E-2</v>
      </c>
      <c r="K43" s="105"/>
      <c r="L43" s="105"/>
      <c r="M43" s="105"/>
      <c r="N43" s="105"/>
      <c r="O43" s="107"/>
    </row>
    <row r="44" spans="1:15" x14ac:dyDescent="0.25">
      <c r="A44" s="114"/>
      <c r="B44" s="115"/>
      <c r="C44" s="115"/>
      <c r="D44" s="115"/>
      <c r="E44" s="115"/>
      <c r="F44" s="115"/>
      <c r="G44" s="115"/>
      <c r="H44" s="115"/>
      <c r="I44" s="319" t="s">
        <v>20</v>
      </c>
      <c r="J44" s="318">
        <f>SUM(J39:J43)</f>
        <v>0.55987632513922869</v>
      </c>
      <c r="K44" s="105"/>
      <c r="L44" s="105"/>
      <c r="M44" s="105"/>
      <c r="N44" s="105"/>
      <c r="O44" s="107"/>
    </row>
    <row r="45" spans="1:15" x14ac:dyDescent="0.25">
      <c r="A45" s="116"/>
      <c r="B45" s="105"/>
      <c r="C45" s="105"/>
      <c r="D45" s="105"/>
      <c r="E45" s="105"/>
      <c r="F45" s="105"/>
      <c r="G45" s="105"/>
      <c r="H45" s="105"/>
      <c r="I45" s="105"/>
      <c r="J45" s="105"/>
      <c r="K45" s="105"/>
      <c r="L45" s="105"/>
      <c r="M45" s="105"/>
      <c r="N45" s="105"/>
      <c r="O45" s="107"/>
    </row>
    <row r="46" spans="1:15" x14ac:dyDescent="0.25">
      <c r="A46" s="306" t="s">
        <v>16</v>
      </c>
      <c r="B46" s="306" t="s">
        <v>70</v>
      </c>
      <c r="C46" s="306" t="s">
        <v>22</v>
      </c>
      <c r="D46" s="306" t="s">
        <v>23</v>
      </c>
      <c r="E46" s="306" t="s">
        <v>24</v>
      </c>
      <c r="F46" s="306" t="s">
        <v>19</v>
      </c>
      <c r="G46" s="306" t="s">
        <v>69</v>
      </c>
      <c r="H46" s="306" t="s">
        <v>68</v>
      </c>
      <c r="I46" s="306" t="s">
        <v>20</v>
      </c>
      <c r="J46" s="105"/>
      <c r="K46" s="105"/>
      <c r="L46" s="105"/>
      <c r="M46" s="105"/>
      <c r="N46" s="105"/>
      <c r="O46" s="107"/>
    </row>
    <row r="47" spans="1:15" x14ac:dyDescent="0.25">
      <c r="A47" s="1205">
        <v>10</v>
      </c>
      <c r="B47" s="1248" t="s">
        <v>67</v>
      </c>
      <c r="C47" s="1209" t="s">
        <v>544</v>
      </c>
      <c r="D47" s="242">
        <v>500</v>
      </c>
      <c r="E47" s="1205" t="s">
        <v>66</v>
      </c>
      <c r="F47" s="1205">
        <v>4</v>
      </c>
      <c r="G47" s="1205">
        <v>3000</v>
      </c>
      <c r="H47" s="1205">
        <v>1</v>
      </c>
      <c r="I47" s="1207">
        <f>F47*D47/G47*H47</f>
        <v>0.66666666666666663</v>
      </c>
      <c r="J47" s="105"/>
      <c r="K47" s="105"/>
      <c r="L47" s="105"/>
      <c r="M47" s="105"/>
      <c r="N47" s="105"/>
      <c r="O47" s="107"/>
    </row>
    <row r="48" spans="1:15" x14ac:dyDescent="0.25">
      <c r="A48" s="1"/>
      <c r="B48" s="1"/>
      <c r="C48" s="1"/>
      <c r="D48" s="1"/>
      <c r="E48" s="1"/>
      <c r="F48" s="1"/>
      <c r="G48" s="1"/>
      <c r="H48" s="306" t="s">
        <v>20</v>
      </c>
      <c r="I48" s="318">
        <f>SUM(I47:I47)</f>
        <v>0.66666666666666663</v>
      </c>
      <c r="J48" s="105"/>
      <c r="K48" s="105"/>
      <c r="L48" s="105"/>
      <c r="M48" s="105"/>
      <c r="N48" s="105"/>
      <c r="O48" s="107"/>
    </row>
    <row r="49" spans="1:15" ht="15.75" thickBot="1" x14ac:dyDescent="0.3">
      <c r="A49" s="118"/>
      <c r="B49" s="119"/>
      <c r="C49" s="119"/>
      <c r="D49" s="119"/>
      <c r="E49" s="119"/>
      <c r="F49" s="119"/>
      <c r="G49" s="119"/>
      <c r="H49" s="119"/>
      <c r="I49" s="119"/>
      <c r="J49" s="119"/>
      <c r="K49" s="119"/>
      <c r="L49" s="119"/>
      <c r="M49" s="119"/>
      <c r="N49" s="119"/>
      <c r="O49" s="120"/>
    </row>
    <row r="50" spans="1:15" x14ac:dyDescent="0.25">
      <c r="A50" s="105"/>
      <c r="B50" s="105"/>
      <c r="C50" s="105"/>
      <c r="D50" s="105"/>
      <c r="E50" s="105"/>
      <c r="F50" s="105"/>
      <c r="G50" s="105"/>
      <c r="H50" s="105"/>
      <c r="I50" s="105"/>
      <c r="J50" s="105"/>
      <c r="K50" s="105"/>
      <c r="L50" s="105"/>
      <c r="M50" s="105"/>
      <c r="N50" s="105"/>
    </row>
  </sheetData>
  <hyperlinks>
    <hyperlink ref="B10" location="SU_12001" display="Pullrod tube"/>
    <hyperlink ref="B11" location="SU_12002" display="Pullrod insert"/>
    <hyperlink ref="E2" location="SU_A1200_BOM" display="Back to BOM"/>
    <hyperlink ref="B12" location="SU_12002" display="Pullrod insert"/>
    <hyperlink ref="B13" location="SU_12002" display="Pullrod insert"/>
  </hyperlinks>
  <pageMargins left="0.31496062992125984" right="0.31496062992125984" top="0.31496062992125984" bottom="0.39370078740157483" header="0.51181102362204722" footer="0.31496062992125984"/>
  <pageSetup paperSize="9" scale="72" firstPageNumber="0" fitToHeight="99" orientation="landscape" horizontalDpi="1200" verticalDpi="1200" r:id="rId1"/>
  <rowBreaks count="1" manualBreakCount="1">
    <brk id="49" max="16383" man="1"/>
  </rowBreaks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75"/>
  <sheetViews>
    <sheetView zoomScale="70" zoomScaleNormal="70" zoomScalePageLayoutView="70" workbookViewId="0">
      <selection activeCell="I18" activeCellId="1" sqref="I16 I18"/>
    </sheetView>
  </sheetViews>
  <sheetFormatPr baseColWidth="10" defaultColWidth="11.5703125" defaultRowHeight="15" x14ac:dyDescent="0.25"/>
  <cols>
    <col min="1" max="1" width="11.5703125" style="103"/>
    <col min="2" max="2" width="31.85546875" style="103" customWidth="1"/>
    <col min="3" max="3" width="28.7109375" style="103" customWidth="1"/>
    <col min="4" max="6" width="11.5703125" style="103"/>
    <col min="7" max="7" width="40.28515625" style="103" customWidth="1"/>
    <col min="8" max="8" width="11.5703125" style="103"/>
    <col min="9" max="9" width="31.7109375" style="103" customWidth="1"/>
    <col min="10" max="10" width="13.5703125" style="103" customWidth="1"/>
    <col min="11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1136" t="s">
        <v>0</v>
      </c>
      <c r="B2" s="104" t="s">
        <v>1</v>
      </c>
      <c r="C2" s="204"/>
      <c r="D2" s="204"/>
      <c r="E2" s="204"/>
      <c r="F2" s="58" t="s">
        <v>2</v>
      </c>
      <c r="G2" s="204"/>
      <c r="H2" s="204"/>
      <c r="I2" s="204"/>
      <c r="J2" s="1135" t="s">
        <v>3</v>
      </c>
      <c r="K2" s="1134">
        <v>81</v>
      </c>
      <c r="L2" s="204"/>
      <c r="M2" s="1132" t="s">
        <v>18</v>
      </c>
      <c r="N2" s="1131">
        <f>SU_12001_m+SU_12001_p</f>
        <v>1.446357098494115</v>
      </c>
      <c r="O2" s="128"/>
    </row>
    <row r="3" spans="1:15" ht="14.45" x14ac:dyDescent="0.3">
      <c r="A3" s="1129" t="s">
        <v>5</v>
      </c>
      <c r="B3" s="104" t="str">
        <f>'SU A1200'!B3</f>
        <v>Suspension &amp; Shocks</v>
      </c>
      <c r="C3" s="204"/>
      <c r="D3" s="1132" t="s">
        <v>8</v>
      </c>
      <c r="E3" s="58"/>
      <c r="F3" s="204"/>
      <c r="G3" s="204"/>
      <c r="H3" s="204"/>
      <c r="I3" s="204"/>
      <c r="J3" s="204"/>
      <c r="K3" s="204"/>
      <c r="L3" s="204"/>
      <c r="M3" s="1130" t="s">
        <v>6</v>
      </c>
      <c r="N3" s="1133">
        <v>2</v>
      </c>
      <c r="O3" s="128"/>
    </row>
    <row r="4" spans="1:15" ht="14.45" x14ac:dyDescent="0.3">
      <c r="A4" s="1129" t="s">
        <v>7</v>
      </c>
      <c r="B4" s="58" t="str">
        <f>'SU A1200'!B4</f>
        <v>Front Pullrod</v>
      </c>
      <c r="C4" s="204"/>
      <c r="D4" s="1130" t="s">
        <v>10</v>
      </c>
      <c r="E4" s="204"/>
      <c r="F4" s="204"/>
      <c r="G4" s="204"/>
      <c r="H4" s="204"/>
      <c r="I4" s="204"/>
      <c r="J4" s="1132" t="s">
        <v>8</v>
      </c>
      <c r="K4" s="204"/>
      <c r="L4" s="204"/>
      <c r="M4" s="204"/>
      <c r="N4" s="204"/>
      <c r="O4" s="128"/>
    </row>
    <row r="5" spans="1:15" ht="14.45" x14ac:dyDescent="0.3">
      <c r="A5" s="1129" t="s">
        <v>17</v>
      </c>
      <c r="B5" s="889" t="s">
        <v>423</v>
      </c>
      <c r="C5" s="204"/>
      <c r="D5" s="1130" t="s">
        <v>14</v>
      </c>
      <c r="E5" s="204"/>
      <c r="F5" s="204"/>
      <c r="G5" s="204"/>
      <c r="H5" s="204"/>
      <c r="I5" s="204"/>
      <c r="J5" s="1130" t="s">
        <v>10</v>
      </c>
      <c r="K5" s="204"/>
      <c r="L5" s="204"/>
      <c r="M5" s="1132" t="s">
        <v>11</v>
      </c>
      <c r="N5" s="1131">
        <f>N2*SU_12001_q</f>
        <v>2.89271419698823</v>
      </c>
      <c r="O5" s="128"/>
    </row>
    <row r="6" spans="1:15" ht="14.45" x14ac:dyDescent="0.3">
      <c r="A6" s="1129" t="s">
        <v>9</v>
      </c>
      <c r="B6" s="105" t="s">
        <v>521</v>
      </c>
      <c r="C6" s="204"/>
      <c r="D6" s="204"/>
      <c r="E6" s="204"/>
      <c r="F6" s="204"/>
      <c r="G6" s="204"/>
      <c r="H6" s="204"/>
      <c r="I6" s="204"/>
      <c r="J6" s="1130" t="s">
        <v>14</v>
      </c>
      <c r="K6" s="204"/>
      <c r="L6" s="204"/>
      <c r="M6" s="204"/>
      <c r="N6" s="204"/>
      <c r="O6" s="128"/>
    </row>
    <row r="7" spans="1:15" ht="14.45" x14ac:dyDescent="0.3">
      <c r="A7" s="1129" t="s">
        <v>12</v>
      </c>
      <c r="B7" s="104" t="s">
        <v>13</v>
      </c>
      <c r="C7" s="204"/>
      <c r="D7" s="204"/>
      <c r="E7" s="204"/>
      <c r="F7" s="204"/>
      <c r="G7" s="204"/>
      <c r="H7" s="204"/>
      <c r="I7" s="204"/>
      <c r="J7" s="204"/>
      <c r="K7" s="204"/>
      <c r="L7" s="204"/>
      <c r="M7" s="204"/>
      <c r="N7" s="204"/>
      <c r="O7" s="128"/>
    </row>
    <row r="8" spans="1:15" ht="14.45" x14ac:dyDescent="0.3">
      <c r="A8" s="1129" t="s">
        <v>15</v>
      </c>
      <c r="B8" s="104"/>
      <c r="C8" s="204"/>
      <c r="D8" s="204"/>
      <c r="E8" s="204"/>
      <c r="F8" s="204"/>
      <c r="G8" s="204"/>
      <c r="H8" s="204"/>
      <c r="I8" s="204"/>
      <c r="J8" s="204"/>
      <c r="K8" s="204"/>
      <c r="L8" s="204"/>
      <c r="M8" s="204"/>
      <c r="N8" s="204"/>
      <c r="O8" s="128"/>
    </row>
    <row r="9" spans="1:15" ht="14.45" x14ac:dyDescent="0.3">
      <c r="A9" s="1118"/>
      <c r="B9" s="204"/>
      <c r="C9" s="204"/>
      <c r="D9" s="204"/>
      <c r="E9" s="204"/>
      <c r="F9" s="204"/>
      <c r="G9" s="204"/>
      <c r="H9" s="204"/>
      <c r="I9" s="204"/>
      <c r="J9" s="204"/>
      <c r="K9" s="204"/>
      <c r="L9" s="204"/>
      <c r="M9" s="204"/>
      <c r="N9" s="204"/>
      <c r="O9" s="128"/>
    </row>
    <row r="10" spans="1:15" ht="14.45" x14ac:dyDescent="0.3">
      <c r="A10" s="1117" t="s">
        <v>16</v>
      </c>
      <c r="B10" s="1116" t="s">
        <v>38</v>
      </c>
      <c r="C10" s="1116" t="s">
        <v>22</v>
      </c>
      <c r="D10" s="1116" t="s">
        <v>23</v>
      </c>
      <c r="E10" s="1116" t="s">
        <v>31</v>
      </c>
      <c r="F10" s="1116" t="s">
        <v>32</v>
      </c>
      <c r="G10" s="1116" t="s">
        <v>33</v>
      </c>
      <c r="H10" s="1116" t="s">
        <v>34</v>
      </c>
      <c r="I10" s="1116" t="s">
        <v>39</v>
      </c>
      <c r="J10" s="1116" t="s">
        <v>40</v>
      </c>
      <c r="K10" s="1116" t="s">
        <v>41</v>
      </c>
      <c r="L10" s="1116" t="s">
        <v>42</v>
      </c>
      <c r="M10" s="1116" t="s">
        <v>19</v>
      </c>
      <c r="N10" s="1116" t="s">
        <v>20</v>
      </c>
      <c r="O10" s="128"/>
    </row>
    <row r="11" spans="1:15" ht="15" customHeight="1" x14ac:dyDescent="0.3">
      <c r="A11" s="1211">
        <v>10</v>
      </c>
      <c r="B11" s="1244" t="s">
        <v>110</v>
      </c>
      <c r="C11" s="1212" t="s">
        <v>157</v>
      </c>
      <c r="D11" s="1213">
        <v>2.25</v>
      </c>
      <c r="E11" s="1214">
        <f>J11*K11*L11</f>
        <v>4.0305377108495605E-2</v>
      </c>
      <c r="F11" s="1212" t="s">
        <v>43</v>
      </c>
      <c r="G11" s="1212"/>
      <c r="H11" s="1215"/>
      <c r="I11" s="1123" t="s">
        <v>145</v>
      </c>
      <c r="J11" s="1123">
        <f>PI()*((8*10^-3)^2-(6*10^-3)^2)</f>
        <v>8.7964594300514196E-5</v>
      </c>
      <c r="K11" s="1122">
        <v>0.28999999999999998</v>
      </c>
      <c r="L11" s="1121">
        <v>1580</v>
      </c>
      <c r="M11" s="1121">
        <v>1</v>
      </c>
      <c r="N11" s="1120">
        <f>D11*E11</f>
        <v>9.0687098494115104E-2</v>
      </c>
      <c r="O11" s="128"/>
    </row>
    <row r="12" spans="1:15" ht="14.45" x14ac:dyDescent="0.3">
      <c r="A12" s="1115"/>
      <c r="B12" s="1112"/>
      <c r="C12" s="1112"/>
      <c r="D12" s="1112"/>
      <c r="E12" s="1112"/>
      <c r="F12" s="1112"/>
      <c r="G12" s="1112"/>
      <c r="H12" s="1112"/>
      <c r="I12" s="1112"/>
      <c r="J12" s="1112"/>
      <c r="K12" s="1112"/>
      <c r="L12" s="1112"/>
      <c r="M12" s="1114" t="s">
        <v>20</v>
      </c>
      <c r="N12" s="1119">
        <f>N11</f>
        <v>9.0687098494115104E-2</v>
      </c>
      <c r="O12" s="128"/>
    </row>
    <row r="13" spans="1:15" ht="14.45" x14ac:dyDescent="0.3">
      <c r="A13" s="1118"/>
      <c r="B13" s="204"/>
      <c r="C13" s="204"/>
      <c r="D13" s="204"/>
      <c r="E13" s="204"/>
      <c r="F13" s="204"/>
      <c r="G13" s="204"/>
      <c r="H13" s="204"/>
      <c r="I13" s="204"/>
      <c r="J13" s="204"/>
      <c r="K13" s="204"/>
      <c r="L13" s="204"/>
      <c r="M13" s="204"/>
      <c r="N13" s="204"/>
      <c r="O13" s="128"/>
    </row>
    <row r="14" spans="1:15" ht="14.45" x14ac:dyDescent="0.3">
      <c r="A14" s="1117" t="s">
        <v>16</v>
      </c>
      <c r="B14" s="1116" t="s">
        <v>21</v>
      </c>
      <c r="C14" s="1116" t="s">
        <v>22</v>
      </c>
      <c r="D14" s="1116" t="s">
        <v>23</v>
      </c>
      <c r="E14" s="1116" t="s">
        <v>24</v>
      </c>
      <c r="F14" s="1116" t="s">
        <v>19</v>
      </c>
      <c r="G14" s="1116" t="s">
        <v>25</v>
      </c>
      <c r="H14" s="1116" t="s">
        <v>26</v>
      </c>
      <c r="I14" s="1116" t="s">
        <v>20</v>
      </c>
      <c r="J14" s="1112"/>
      <c r="K14" s="1112"/>
      <c r="L14" s="1112"/>
      <c r="M14" s="1112"/>
      <c r="N14" s="1112"/>
      <c r="O14" s="128"/>
    </row>
    <row r="15" spans="1:15" x14ac:dyDescent="0.25">
      <c r="A15" s="1211">
        <v>10</v>
      </c>
      <c r="B15" s="1249" t="s">
        <v>551</v>
      </c>
      <c r="C15" s="1212"/>
      <c r="D15" s="1213">
        <v>1.3</v>
      </c>
      <c r="E15" s="1212" t="s">
        <v>72</v>
      </c>
      <c r="F15" s="1212">
        <v>1</v>
      </c>
      <c r="G15" s="1212" t="s">
        <v>523</v>
      </c>
      <c r="H15" s="1212">
        <f>1/8</f>
        <v>0.125</v>
      </c>
      <c r="I15" s="1213">
        <f>H15*F15*D15</f>
        <v>0.16250000000000001</v>
      </c>
      <c r="J15" s="204"/>
      <c r="K15" s="204"/>
      <c r="L15" s="204"/>
      <c r="M15" s="204"/>
      <c r="N15" s="204"/>
      <c r="O15" s="128"/>
    </row>
    <row r="16" spans="1:15" ht="14.45" x14ac:dyDescent="0.3">
      <c r="A16" s="1211">
        <v>20</v>
      </c>
      <c r="B16" s="1244" t="s">
        <v>80</v>
      </c>
      <c r="C16" s="1212" t="s">
        <v>98</v>
      </c>
      <c r="D16" s="1213">
        <v>0.04</v>
      </c>
      <c r="E16" s="1212" t="s">
        <v>79</v>
      </c>
      <c r="F16" s="1216">
        <v>3.016</v>
      </c>
      <c r="G16" s="1244" t="s">
        <v>167</v>
      </c>
      <c r="H16" s="1244">
        <v>3</v>
      </c>
      <c r="I16" s="1250">
        <f>H16*F16*D16</f>
        <v>0.36192000000000002</v>
      </c>
      <c r="J16" s="204"/>
      <c r="K16" s="204"/>
      <c r="L16" s="204"/>
      <c r="M16" s="204"/>
      <c r="N16" s="204"/>
      <c r="O16" s="128"/>
    </row>
    <row r="17" spans="1:15" x14ac:dyDescent="0.25">
      <c r="A17" s="1211">
        <v>30</v>
      </c>
      <c r="B17" s="1249" t="s">
        <v>552</v>
      </c>
      <c r="C17" s="1212"/>
      <c r="D17" s="1213">
        <v>0.65</v>
      </c>
      <c r="E17" s="1212" t="s">
        <v>72</v>
      </c>
      <c r="F17" s="1212">
        <v>1</v>
      </c>
      <c r="G17" s="1212" t="s">
        <v>523</v>
      </c>
      <c r="H17" s="1212">
        <f>1/8</f>
        <v>0.125</v>
      </c>
      <c r="I17" s="1213">
        <f>H17*F17*D17</f>
        <v>8.1250000000000003E-2</v>
      </c>
      <c r="J17" s="204"/>
      <c r="K17" s="204"/>
      <c r="L17" s="204"/>
      <c r="M17" s="204"/>
      <c r="N17" s="204"/>
      <c r="O17" s="128"/>
    </row>
    <row r="18" spans="1:15" ht="14.45" x14ac:dyDescent="0.3">
      <c r="A18" s="1211">
        <v>40</v>
      </c>
      <c r="B18" s="1244" t="s">
        <v>553</v>
      </c>
      <c r="C18" s="1212" t="s">
        <v>554</v>
      </c>
      <c r="D18" s="1213">
        <v>0.1</v>
      </c>
      <c r="E18" s="1212" t="s">
        <v>76</v>
      </c>
      <c r="F18" s="1212">
        <v>2.5</v>
      </c>
      <c r="G18" s="1244" t="s">
        <v>167</v>
      </c>
      <c r="H18" s="1244">
        <v>3</v>
      </c>
      <c r="I18" s="1250">
        <f>H18*F18*D18</f>
        <v>0.75</v>
      </c>
      <c r="J18" s="204"/>
      <c r="K18" s="204"/>
      <c r="L18" s="204"/>
      <c r="M18" s="204"/>
      <c r="N18" s="204"/>
      <c r="O18" s="128"/>
    </row>
    <row r="19" spans="1:15" ht="14.45" x14ac:dyDescent="0.3">
      <c r="A19" s="1115"/>
      <c r="B19" s="1112"/>
      <c r="C19" s="1112"/>
      <c r="D19" s="1112"/>
      <c r="E19" s="1112"/>
      <c r="F19" s="1112"/>
      <c r="G19" s="1112"/>
      <c r="H19" s="1114" t="s">
        <v>20</v>
      </c>
      <c r="I19" s="1113">
        <f>SUM(I15:I18)</f>
        <v>1.3556699999999999</v>
      </c>
      <c r="J19" s="1112"/>
      <c r="K19" s="1112"/>
      <c r="L19" s="1112"/>
      <c r="M19" s="1112"/>
      <c r="N19" s="1112"/>
      <c r="O19" s="128"/>
    </row>
    <row r="20" spans="1:15" thickBot="1" x14ac:dyDescent="0.35">
      <c r="A20" s="1111"/>
      <c r="B20" s="1108"/>
      <c r="C20" s="1108"/>
      <c r="D20" s="1108"/>
      <c r="E20" s="1108"/>
      <c r="F20" s="1108"/>
      <c r="G20" s="1108"/>
      <c r="H20" s="1110"/>
      <c r="I20" s="1109"/>
      <c r="J20" s="1108"/>
      <c r="K20" s="1108"/>
      <c r="L20" s="1108"/>
      <c r="M20" s="1108"/>
      <c r="N20" s="1108"/>
      <c r="O20" s="140"/>
    </row>
    <row r="21" spans="1:15" ht="14.45" x14ac:dyDescent="0.3">
      <c r="A21" s="1106"/>
      <c r="B21" s="1106"/>
      <c r="C21" s="1106"/>
      <c r="D21" s="1106"/>
      <c r="E21" s="1106"/>
      <c r="F21" s="1106"/>
      <c r="G21" s="1106"/>
      <c r="H21" s="1106"/>
      <c r="I21" s="1106"/>
      <c r="J21" s="1106"/>
      <c r="K21" s="1106"/>
      <c r="L21" s="1106"/>
      <c r="M21" s="1106"/>
      <c r="N21" s="1106"/>
    </row>
    <row r="22" spans="1:15" ht="14.45" x14ac:dyDescent="0.3">
      <c r="A22" s="1106"/>
      <c r="B22" s="1106"/>
      <c r="C22" s="1106"/>
      <c r="D22" s="1106"/>
      <c r="E22" s="1106"/>
      <c r="F22" s="1106"/>
      <c r="G22" s="1106"/>
      <c r="H22" s="1106"/>
      <c r="I22" s="1106"/>
      <c r="J22" s="1106"/>
      <c r="K22" s="1106"/>
      <c r="L22" s="1106"/>
      <c r="M22" s="1106"/>
      <c r="N22" s="1106"/>
    </row>
    <row r="23" spans="1:15" ht="14.45" x14ac:dyDescent="0.3">
      <c r="A23" s="1106"/>
      <c r="B23" s="1106"/>
      <c r="C23" s="1106"/>
      <c r="D23" s="1106"/>
      <c r="E23" s="1106"/>
      <c r="F23" s="1106"/>
      <c r="G23" s="1106"/>
      <c r="H23" s="1106"/>
      <c r="I23" s="1106"/>
      <c r="J23" s="1106"/>
      <c r="K23" s="1106"/>
      <c r="L23" s="1106"/>
      <c r="M23" s="1106"/>
      <c r="N23" s="1106"/>
    </row>
    <row r="24" spans="1:15" ht="14.45" x14ac:dyDescent="0.3">
      <c r="A24" s="1106"/>
      <c r="B24" s="1106"/>
      <c r="C24" s="1106"/>
      <c r="D24" s="1106"/>
      <c r="E24" s="1106"/>
      <c r="F24" s="1106"/>
      <c r="G24" s="1106"/>
      <c r="H24" s="1106"/>
      <c r="I24" s="1106"/>
      <c r="J24" s="1106"/>
      <c r="K24" s="1106"/>
      <c r="L24" s="1106"/>
      <c r="M24" s="1106"/>
      <c r="N24" s="1106"/>
    </row>
    <row r="25" spans="1:15" ht="14.45" x14ac:dyDescent="0.3">
      <c r="A25" s="1106"/>
      <c r="B25" s="1106"/>
      <c r="C25" s="1106"/>
      <c r="D25" s="1106"/>
      <c r="E25" s="1106"/>
      <c r="F25" s="1106"/>
      <c r="G25" s="1106"/>
      <c r="H25" s="1106"/>
      <c r="I25" s="1106"/>
      <c r="J25" s="1106"/>
      <c r="K25" s="1106"/>
      <c r="L25" s="1106"/>
      <c r="M25" s="1106"/>
      <c r="N25" s="1106"/>
    </row>
    <row r="26" spans="1:15" ht="14.45" x14ac:dyDescent="0.3">
      <c r="A26" s="1106"/>
      <c r="B26" s="1106"/>
      <c r="C26" s="1106"/>
      <c r="D26" s="1106"/>
      <c r="E26" s="1106"/>
      <c r="F26" s="1106"/>
      <c r="G26" s="1106"/>
      <c r="H26" s="1106"/>
      <c r="I26" s="1106"/>
      <c r="J26" s="1106"/>
      <c r="K26" s="1106"/>
      <c r="L26" s="1106"/>
      <c r="M26" s="1106"/>
      <c r="N26" s="1106"/>
    </row>
    <row r="27" spans="1:15" ht="14.45" x14ac:dyDescent="0.3">
      <c r="A27" s="1106"/>
      <c r="B27" s="1106"/>
      <c r="C27" s="1106"/>
      <c r="D27" s="1106"/>
      <c r="E27" s="1106"/>
      <c r="F27" s="1106"/>
      <c r="G27" s="1106"/>
      <c r="H27" s="1106"/>
      <c r="I27" s="1106"/>
      <c r="J27" s="1106"/>
      <c r="K27" s="1106"/>
      <c r="L27" s="1106"/>
      <c r="M27" s="1106"/>
      <c r="N27" s="1106"/>
    </row>
    <row r="28" spans="1:15" ht="14.45" x14ac:dyDescent="0.3">
      <c r="A28" s="1106"/>
      <c r="B28" s="1106"/>
      <c r="C28" s="1106"/>
      <c r="D28" s="1106"/>
      <c r="E28" s="1106"/>
      <c r="F28" s="1106"/>
      <c r="G28" s="1106"/>
      <c r="H28" s="1106"/>
      <c r="I28" s="1106"/>
      <c r="J28" s="1106"/>
      <c r="K28" s="1106"/>
      <c r="L28" s="1106"/>
      <c r="M28" s="1106"/>
      <c r="N28" s="1106"/>
    </row>
    <row r="29" spans="1:15" ht="14.45" x14ac:dyDescent="0.3">
      <c r="A29" s="1106"/>
      <c r="B29" s="1106"/>
      <c r="C29" s="1106"/>
      <c r="D29" s="1106"/>
      <c r="E29" s="1106"/>
      <c r="F29" s="1106"/>
      <c r="G29" s="1106"/>
      <c r="H29" s="1106"/>
      <c r="I29" s="1106"/>
      <c r="J29" s="1106"/>
      <c r="K29" s="1106"/>
      <c r="L29" s="1106"/>
      <c r="M29" s="1106"/>
      <c r="N29" s="1106"/>
    </row>
    <row r="30" spans="1:15" ht="14.45" x14ac:dyDescent="0.3">
      <c r="A30" s="1106"/>
      <c r="B30" s="1106"/>
      <c r="C30" s="1106"/>
      <c r="D30" s="1106"/>
      <c r="E30" s="1106"/>
      <c r="F30" s="1106"/>
      <c r="G30" s="1106"/>
      <c r="H30" s="1106"/>
      <c r="I30" s="1106"/>
      <c r="J30" s="1106"/>
      <c r="K30" s="1106"/>
      <c r="L30" s="1106"/>
      <c r="M30" s="1106"/>
      <c r="N30" s="1106"/>
    </row>
    <row r="31" spans="1:15" ht="14.45" x14ac:dyDescent="0.3">
      <c r="A31" s="1106"/>
      <c r="B31" s="1106"/>
      <c r="C31" s="1106"/>
      <c r="D31" s="1106"/>
      <c r="E31" s="1106"/>
      <c r="F31" s="1106"/>
      <c r="G31" s="1106"/>
      <c r="H31" s="1106"/>
      <c r="I31" s="1106"/>
      <c r="J31" s="1106"/>
      <c r="K31" s="1106"/>
      <c r="L31" s="1106"/>
      <c r="M31" s="1106"/>
      <c r="N31" s="1106"/>
    </row>
    <row r="32" spans="1:15" ht="14.45" x14ac:dyDescent="0.3">
      <c r="A32" s="1106"/>
      <c r="B32" s="1106"/>
      <c r="C32" s="1106"/>
      <c r="D32" s="1106"/>
      <c r="E32" s="1106"/>
      <c r="F32" s="1106"/>
      <c r="G32" s="1106"/>
      <c r="H32" s="1106"/>
      <c r="I32" s="1106"/>
      <c r="J32" s="1106"/>
      <c r="K32" s="1106"/>
      <c r="L32" s="1106"/>
      <c r="M32" s="1106"/>
      <c r="N32" s="1106"/>
    </row>
    <row r="33" spans="1:14" ht="14.45" x14ac:dyDescent="0.3">
      <c r="A33" s="1106"/>
      <c r="B33" s="1106"/>
      <c r="C33" s="1106"/>
      <c r="D33" s="1106"/>
      <c r="E33" s="1106"/>
      <c r="F33" s="1106"/>
      <c r="G33" s="1106"/>
      <c r="H33" s="1106"/>
      <c r="I33" s="1106"/>
      <c r="J33" s="1106"/>
      <c r="K33" s="1106"/>
      <c r="L33" s="1106"/>
      <c r="M33" s="1106"/>
      <c r="N33" s="1106"/>
    </row>
    <row r="34" spans="1:14" ht="14.45" x14ac:dyDescent="0.3">
      <c r="A34" s="1106"/>
      <c r="B34" s="1106"/>
      <c r="C34" s="1106"/>
      <c r="D34" s="1106"/>
      <c r="E34" s="1106"/>
      <c r="F34" s="1106"/>
      <c r="G34" s="1106"/>
      <c r="H34" s="1106"/>
      <c r="I34" s="1106"/>
      <c r="J34" s="1106"/>
      <c r="K34" s="1106"/>
      <c r="L34" s="1106"/>
      <c r="M34" s="1106"/>
      <c r="N34" s="1106"/>
    </row>
    <row r="35" spans="1:14" x14ac:dyDescent="0.25">
      <c r="A35" s="1106"/>
      <c r="B35" s="1106"/>
      <c r="C35" s="1106"/>
      <c r="D35" s="1106"/>
      <c r="E35" s="1106"/>
      <c r="F35" s="1106"/>
      <c r="G35" s="1106"/>
      <c r="H35" s="1106"/>
      <c r="I35" s="1106"/>
      <c r="J35" s="1106"/>
      <c r="K35" s="1106"/>
      <c r="L35" s="1106"/>
      <c r="M35" s="1106"/>
      <c r="N35" s="1106"/>
    </row>
    <row r="36" spans="1:14" x14ac:dyDescent="0.25">
      <c r="A36" s="1106"/>
      <c r="B36" s="1106"/>
      <c r="C36" s="1106"/>
      <c r="D36" s="1106"/>
      <c r="E36" s="1106"/>
      <c r="F36" s="1106"/>
      <c r="G36" s="1106"/>
      <c r="H36" s="1106"/>
      <c r="I36" s="1106"/>
      <c r="J36" s="1106"/>
      <c r="K36" s="1106"/>
      <c r="L36" s="1106"/>
      <c r="M36" s="1106"/>
      <c r="N36" s="1106"/>
    </row>
    <row r="37" spans="1:14" x14ac:dyDescent="0.25">
      <c r="A37" s="1106"/>
      <c r="B37" s="1106"/>
      <c r="C37" s="1106"/>
      <c r="D37" s="1106"/>
      <c r="E37" s="1106"/>
      <c r="F37" s="1106"/>
      <c r="G37" s="1106"/>
      <c r="H37" s="1106"/>
      <c r="I37" s="1106"/>
      <c r="J37" s="1106"/>
      <c r="K37" s="1106"/>
      <c r="L37" s="1106"/>
      <c r="M37" s="1106"/>
      <c r="N37" s="1106"/>
    </row>
    <row r="38" spans="1:14" x14ac:dyDescent="0.25">
      <c r="A38" s="1106"/>
      <c r="B38" s="1106"/>
      <c r="C38" s="1106"/>
      <c r="D38" s="1106"/>
      <c r="E38" s="1106"/>
      <c r="F38" s="1106"/>
      <c r="G38" s="1106"/>
      <c r="H38" s="1106"/>
      <c r="I38" s="1106"/>
      <c r="J38" s="1106"/>
      <c r="K38" s="1106"/>
      <c r="L38" s="1106"/>
      <c r="M38" s="1106"/>
      <c r="N38" s="1106"/>
    </row>
    <row r="39" spans="1:14" x14ac:dyDescent="0.25">
      <c r="A39" s="1106"/>
      <c r="B39" s="1106"/>
      <c r="C39" s="1106"/>
      <c r="D39" s="1106"/>
      <c r="E39" s="1106"/>
      <c r="F39" s="1106"/>
      <c r="G39" s="1106"/>
      <c r="H39" s="1106"/>
      <c r="I39" s="1106"/>
      <c r="J39" s="1106"/>
      <c r="K39" s="1106"/>
      <c r="L39" s="1106"/>
      <c r="M39" s="1106"/>
      <c r="N39" s="1106"/>
    </row>
    <row r="40" spans="1:14" x14ac:dyDescent="0.25">
      <c r="A40" s="1106"/>
      <c r="B40" s="1106"/>
      <c r="C40" s="1106"/>
      <c r="D40" s="1106"/>
      <c r="E40" s="1106"/>
      <c r="F40" s="1106"/>
      <c r="G40" s="1106"/>
      <c r="H40" s="1106"/>
      <c r="I40" s="1106"/>
      <c r="J40" s="1106"/>
      <c r="K40" s="1106"/>
      <c r="L40" s="1106"/>
      <c r="M40" s="1106"/>
      <c r="N40" s="1106"/>
    </row>
    <row r="41" spans="1:14" x14ac:dyDescent="0.25">
      <c r="A41" s="1106"/>
      <c r="B41" s="1106"/>
      <c r="C41" s="1106"/>
      <c r="D41" s="1106"/>
      <c r="E41" s="1106"/>
      <c r="F41" s="1106"/>
      <c r="G41" s="1106"/>
      <c r="H41" s="1106"/>
      <c r="I41" s="1106"/>
      <c r="J41" s="1106"/>
      <c r="K41" s="1106"/>
      <c r="L41" s="1106"/>
      <c r="M41" s="1106"/>
      <c r="N41" s="1106"/>
    </row>
    <row r="42" spans="1:14" x14ac:dyDescent="0.25">
      <c r="A42" s="1106"/>
      <c r="B42" s="1106"/>
      <c r="C42" s="1106"/>
      <c r="D42" s="1106"/>
      <c r="E42" s="1106"/>
      <c r="F42" s="1106"/>
      <c r="G42" s="1106"/>
      <c r="H42" s="1106"/>
      <c r="I42" s="1106"/>
      <c r="J42" s="1106"/>
      <c r="K42" s="1106"/>
      <c r="L42" s="1106"/>
      <c r="M42" s="1106"/>
      <c r="N42" s="1106"/>
    </row>
    <row r="43" spans="1:14" x14ac:dyDescent="0.25">
      <c r="A43" s="1106"/>
      <c r="B43" s="1106"/>
      <c r="C43" s="1106"/>
      <c r="D43" s="1106"/>
      <c r="E43" s="1106"/>
      <c r="F43" s="1106"/>
      <c r="G43" s="1106"/>
      <c r="H43" s="1106"/>
      <c r="I43" s="1106"/>
      <c r="J43" s="1106"/>
      <c r="K43" s="1106"/>
      <c r="L43" s="1106"/>
      <c r="M43" s="1106"/>
      <c r="N43" s="1106"/>
    </row>
    <row r="44" spans="1:14" x14ac:dyDescent="0.25">
      <c r="A44" s="1106"/>
      <c r="B44" s="1106"/>
      <c r="C44" s="1106"/>
      <c r="D44" s="1106"/>
      <c r="E44" s="1106"/>
      <c r="F44" s="1106"/>
      <c r="G44" s="1106"/>
      <c r="H44" s="1106"/>
      <c r="I44" s="1106"/>
      <c r="J44" s="1106"/>
      <c r="K44" s="1106"/>
      <c r="L44" s="1106"/>
      <c r="M44" s="1106"/>
      <c r="N44" s="1106"/>
    </row>
    <row r="45" spans="1:14" x14ac:dyDescent="0.25">
      <c r="A45" s="1106"/>
      <c r="B45" s="1106"/>
      <c r="C45" s="1106"/>
      <c r="D45" s="1106"/>
      <c r="E45" s="1106"/>
      <c r="F45" s="1106"/>
      <c r="G45" s="1106"/>
      <c r="H45" s="1106"/>
      <c r="I45" s="1106"/>
      <c r="J45" s="1106"/>
      <c r="K45" s="1106"/>
      <c r="L45" s="1106"/>
      <c r="M45" s="1106"/>
      <c r="N45" s="1106"/>
    </row>
    <row r="46" spans="1:14" x14ac:dyDescent="0.25">
      <c r="A46" s="1106"/>
      <c r="B46" s="1106"/>
      <c r="C46" s="1106"/>
      <c r="D46" s="1106"/>
      <c r="E46" s="1106"/>
      <c r="F46" s="1106"/>
      <c r="G46" s="1106"/>
      <c r="H46" s="1106"/>
      <c r="I46" s="1106"/>
      <c r="J46" s="1106"/>
      <c r="K46" s="1106"/>
      <c r="L46" s="1106"/>
      <c r="M46" s="1106"/>
      <c r="N46" s="1106"/>
    </row>
    <row r="47" spans="1:14" x14ac:dyDescent="0.25">
      <c r="A47" s="1106"/>
      <c r="B47" s="1106"/>
      <c r="C47" s="1106"/>
      <c r="D47" s="1106"/>
      <c r="E47" s="1106"/>
      <c r="F47" s="1106"/>
      <c r="G47" s="1106"/>
      <c r="H47" s="1106"/>
      <c r="I47" s="1106"/>
      <c r="J47" s="1106"/>
      <c r="K47" s="1106"/>
      <c r="L47" s="1106"/>
      <c r="M47" s="1106"/>
      <c r="N47" s="1106"/>
    </row>
    <row r="48" spans="1:14" x14ac:dyDescent="0.25">
      <c r="A48" s="1106"/>
      <c r="B48" s="1106"/>
      <c r="C48" s="1106"/>
      <c r="D48" s="1106"/>
      <c r="E48" s="1106"/>
      <c r="F48" s="1106"/>
      <c r="G48" s="1106"/>
      <c r="H48" s="1106"/>
      <c r="I48" s="1106"/>
      <c r="J48" s="1106"/>
      <c r="K48" s="1106"/>
      <c r="L48" s="1106"/>
      <c r="M48" s="1106"/>
      <c r="N48" s="1106"/>
    </row>
    <row r="49" spans="1:14" x14ac:dyDescent="0.25">
      <c r="A49" s="1106"/>
      <c r="B49" s="1106"/>
      <c r="C49" s="1106"/>
      <c r="D49" s="1106"/>
      <c r="E49" s="1106"/>
      <c r="F49" s="1106"/>
      <c r="G49" s="1106"/>
      <c r="H49" s="1106"/>
      <c r="I49" s="1106"/>
      <c r="J49" s="1106"/>
      <c r="K49" s="1106"/>
      <c r="L49" s="1106"/>
      <c r="M49" s="1106"/>
      <c r="N49" s="1106"/>
    </row>
    <row r="50" spans="1:14" x14ac:dyDescent="0.25">
      <c r="A50" s="1106"/>
      <c r="B50" s="1106"/>
      <c r="C50" s="1106"/>
      <c r="D50" s="1106"/>
      <c r="E50" s="1106"/>
      <c r="F50" s="1106"/>
      <c r="G50" s="1106"/>
      <c r="H50" s="1106"/>
      <c r="I50" s="1106"/>
      <c r="J50" s="1106"/>
      <c r="K50" s="1106"/>
      <c r="L50" s="1106"/>
      <c r="M50" s="1106"/>
      <c r="N50" s="1106"/>
    </row>
    <row r="51" spans="1:14" x14ac:dyDescent="0.25">
      <c r="A51" s="1106"/>
      <c r="B51" s="1106"/>
      <c r="C51" s="1106"/>
      <c r="D51" s="1106"/>
      <c r="E51" s="1106"/>
      <c r="F51" s="1106"/>
      <c r="G51" s="1106"/>
      <c r="H51" s="1106"/>
      <c r="I51" s="1106"/>
      <c r="J51" s="1106"/>
      <c r="K51" s="1106"/>
      <c r="L51" s="1106"/>
      <c r="M51" s="1106"/>
      <c r="N51" s="1106"/>
    </row>
    <row r="52" spans="1:14" x14ac:dyDescent="0.25">
      <c r="A52" s="1106"/>
      <c r="B52" s="1106"/>
      <c r="C52" s="1106"/>
      <c r="D52" s="1106"/>
      <c r="E52" s="1106"/>
      <c r="F52" s="1106"/>
      <c r="G52" s="1106"/>
      <c r="H52" s="1106"/>
      <c r="I52" s="1106"/>
      <c r="J52" s="1106"/>
      <c r="K52" s="1106"/>
      <c r="L52" s="1106"/>
      <c r="M52" s="1106"/>
      <c r="N52" s="1106"/>
    </row>
    <row r="53" spans="1:14" x14ac:dyDescent="0.25">
      <c r="A53" s="1106"/>
      <c r="B53" s="1106"/>
      <c r="C53" s="1106"/>
      <c r="D53" s="1106"/>
      <c r="E53" s="1106"/>
      <c r="F53" s="1106"/>
      <c r="G53" s="1106"/>
      <c r="H53" s="1106"/>
      <c r="I53" s="1106"/>
      <c r="J53" s="1106"/>
      <c r="K53" s="1106"/>
      <c r="L53" s="1106"/>
      <c r="M53" s="1106"/>
      <c r="N53" s="1106"/>
    </row>
    <row r="54" spans="1:14" x14ac:dyDescent="0.25">
      <c r="A54" s="1106"/>
      <c r="B54" s="1106"/>
      <c r="C54" s="1106"/>
      <c r="D54" s="1106"/>
      <c r="E54" s="1106"/>
      <c r="F54" s="1106"/>
      <c r="G54" s="1106"/>
      <c r="H54" s="1106"/>
      <c r="I54" s="1106"/>
      <c r="J54" s="1106"/>
      <c r="K54" s="1106"/>
      <c r="L54" s="1106"/>
      <c r="M54" s="1106"/>
      <c r="N54" s="1106"/>
    </row>
    <row r="55" spans="1:14" x14ac:dyDescent="0.25">
      <c r="A55" s="1106"/>
      <c r="B55" s="1106"/>
      <c r="C55" s="1106"/>
      <c r="D55" s="1106"/>
      <c r="E55" s="1106"/>
      <c r="F55" s="1106"/>
      <c r="G55" s="1106"/>
      <c r="H55" s="1106"/>
      <c r="I55" s="1106"/>
      <c r="J55" s="1106"/>
      <c r="K55" s="1106"/>
      <c r="L55" s="1106"/>
      <c r="M55" s="1106"/>
      <c r="N55" s="1106"/>
    </row>
    <row r="56" spans="1:14" x14ac:dyDescent="0.25">
      <c r="A56" s="1106"/>
      <c r="B56" s="1106"/>
      <c r="C56" s="1106"/>
      <c r="D56" s="1106"/>
      <c r="E56" s="1106"/>
      <c r="F56" s="1106"/>
      <c r="G56" s="1106"/>
      <c r="H56" s="1106"/>
      <c r="I56" s="1106"/>
      <c r="J56" s="1106"/>
      <c r="K56" s="1106"/>
      <c r="L56" s="1106"/>
      <c r="M56" s="1106"/>
      <c r="N56" s="1106"/>
    </row>
    <row r="57" spans="1:14" x14ac:dyDescent="0.25">
      <c r="A57" s="1106"/>
      <c r="B57" s="1106"/>
      <c r="C57" s="1106"/>
      <c r="D57" s="1106"/>
      <c r="E57" s="1106"/>
      <c r="F57" s="1106"/>
      <c r="G57" s="1106"/>
      <c r="H57" s="1106"/>
      <c r="I57" s="1106"/>
      <c r="J57" s="1106"/>
      <c r="K57" s="1106"/>
      <c r="L57" s="1106"/>
      <c r="M57" s="1106"/>
      <c r="N57" s="1106"/>
    </row>
    <row r="58" spans="1:14" x14ac:dyDescent="0.25">
      <c r="A58" s="1106"/>
      <c r="B58" s="1106"/>
      <c r="C58" s="1106"/>
      <c r="D58" s="1106"/>
      <c r="E58" s="1106"/>
      <c r="F58" s="1106"/>
      <c r="G58" s="1106"/>
      <c r="H58" s="1106"/>
      <c r="I58" s="1106"/>
      <c r="J58" s="1106"/>
      <c r="K58" s="1106"/>
      <c r="L58" s="1106"/>
      <c r="M58" s="1106"/>
      <c r="N58" s="1106"/>
    </row>
    <row r="59" spans="1:14" x14ac:dyDescent="0.25">
      <c r="A59" s="1106"/>
      <c r="B59" s="1106"/>
      <c r="C59" s="1106"/>
      <c r="D59" s="1106"/>
      <c r="E59" s="1106"/>
      <c r="F59" s="1106"/>
      <c r="G59" s="1106"/>
      <c r="H59" s="1106"/>
      <c r="I59" s="1106"/>
      <c r="J59" s="1106"/>
      <c r="K59" s="1106"/>
      <c r="L59" s="1106"/>
      <c r="M59" s="1106"/>
      <c r="N59" s="1106"/>
    </row>
    <row r="60" spans="1:14" x14ac:dyDescent="0.25">
      <c r="A60" s="1106"/>
      <c r="B60" s="1106"/>
      <c r="C60" s="1106"/>
      <c r="D60" s="1106"/>
      <c r="E60" s="1106"/>
      <c r="F60" s="1106"/>
      <c r="G60" s="1106"/>
      <c r="H60" s="1106"/>
      <c r="I60" s="1106"/>
      <c r="J60" s="1106"/>
      <c r="K60" s="1106"/>
      <c r="L60" s="1106"/>
      <c r="M60" s="1106"/>
      <c r="N60" s="1106"/>
    </row>
    <row r="61" spans="1:14" x14ac:dyDescent="0.25">
      <c r="A61" s="1106"/>
      <c r="B61" s="1106"/>
      <c r="C61" s="1106"/>
      <c r="D61" s="1106"/>
      <c r="E61" s="1106"/>
      <c r="F61" s="1106"/>
      <c r="G61" s="1106"/>
      <c r="H61" s="1106"/>
      <c r="I61" s="1106"/>
      <c r="J61" s="1106"/>
      <c r="K61" s="1106"/>
      <c r="L61" s="1106"/>
      <c r="M61" s="1106"/>
      <c r="N61" s="1106"/>
    </row>
    <row r="62" spans="1:14" x14ac:dyDescent="0.25">
      <c r="A62" s="1106"/>
      <c r="B62" s="1106"/>
      <c r="C62" s="1106"/>
      <c r="D62" s="1106"/>
      <c r="E62" s="1106"/>
      <c r="F62" s="1106"/>
      <c r="G62" s="1106"/>
      <c r="H62" s="1106"/>
      <c r="I62" s="1106"/>
      <c r="J62" s="1106"/>
      <c r="K62" s="1106"/>
      <c r="L62" s="1106"/>
      <c r="M62" s="1106"/>
      <c r="N62" s="1106"/>
    </row>
    <row r="63" spans="1:14" x14ac:dyDescent="0.25">
      <c r="A63" s="1106"/>
      <c r="B63" s="1106"/>
      <c r="C63" s="1106"/>
      <c r="D63" s="1106"/>
      <c r="E63" s="1106"/>
      <c r="F63" s="1106"/>
      <c r="G63" s="1106"/>
      <c r="H63" s="1106"/>
      <c r="I63" s="1106"/>
      <c r="J63" s="1106"/>
      <c r="K63" s="1106"/>
      <c r="L63" s="1106"/>
      <c r="M63" s="1106"/>
      <c r="N63" s="1106"/>
    </row>
    <row r="64" spans="1:14" x14ac:dyDescent="0.25">
      <c r="A64" s="1106"/>
      <c r="B64" s="1106"/>
      <c r="C64" s="1106"/>
      <c r="D64" s="1106"/>
      <c r="E64" s="1106"/>
      <c r="F64" s="1106"/>
      <c r="G64" s="1106"/>
      <c r="H64" s="1106"/>
      <c r="I64" s="1106"/>
      <c r="J64" s="1106"/>
      <c r="K64" s="1106"/>
      <c r="L64" s="1106"/>
      <c r="M64" s="1106"/>
      <c r="N64" s="1106"/>
    </row>
    <row r="65" spans="1:14" x14ac:dyDescent="0.25">
      <c r="A65" s="1106"/>
      <c r="B65" s="1106"/>
      <c r="C65" s="1106"/>
      <c r="D65" s="1106"/>
      <c r="E65" s="1106"/>
      <c r="F65" s="1106"/>
      <c r="G65" s="1106"/>
      <c r="H65" s="1106"/>
      <c r="I65" s="1106"/>
      <c r="J65" s="1106"/>
      <c r="K65" s="1106"/>
      <c r="L65" s="1106"/>
      <c r="M65" s="1106"/>
      <c r="N65" s="1106"/>
    </row>
    <row r="66" spans="1:14" x14ac:dyDescent="0.25">
      <c r="A66" s="1106"/>
      <c r="B66" s="1106"/>
      <c r="C66" s="1106"/>
      <c r="D66" s="1106"/>
      <c r="E66" s="1106"/>
      <c r="F66" s="1106"/>
      <c r="G66" s="1106"/>
      <c r="H66" s="1106"/>
      <c r="I66" s="1106"/>
      <c r="J66" s="1106"/>
      <c r="K66" s="1106"/>
      <c r="L66" s="1106"/>
      <c r="M66" s="1106"/>
      <c r="N66" s="1106"/>
    </row>
    <row r="67" spans="1:14" x14ac:dyDescent="0.25">
      <c r="A67" s="1106"/>
      <c r="B67" s="1106"/>
      <c r="C67" s="1106"/>
      <c r="D67" s="1106"/>
      <c r="E67" s="1106"/>
      <c r="F67" s="1106"/>
      <c r="G67" s="1106"/>
      <c r="H67" s="1106"/>
      <c r="I67" s="1106"/>
      <c r="J67" s="1106"/>
      <c r="K67" s="1106"/>
      <c r="L67" s="1106"/>
      <c r="M67" s="1106"/>
      <c r="N67" s="1106"/>
    </row>
    <row r="68" spans="1:14" x14ac:dyDescent="0.25">
      <c r="A68" s="1106"/>
      <c r="B68" s="1106"/>
      <c r="C68" s="1106"/>
      <c r="D68" s="1106"/>
      <c r="E68" s="1106"/>
      <c r="F68" s="1106"/>
      <c r="G68" s="1106"/>
      <c r="H68" s="1106"/>
      <c r="I68" s="1106"/>
      <c r="J68" s="1106"/>
      <c r="K68" s="1106"/>
      <c r="L68" s="1106"/>
      <c r="M68" s="1106"/>
      <c r="N68" s="1106"/>
    </row>
    <row r="69" spans="1:14" x14ac:dyDescent="0.25">
      <c r="A69" s="1106"/>
      <c r="B69" s="1106"/>
      <c r="C69" s="1106"/>
      <c r="D69" s="1106"/>
      <c r="E69" s="1106"/>
      <c r="F69" s="1106"/>
      <c r="G69" s="1106"/>
      <c r="H69" s="1106"/>
      <c r="I69" s="1106"/>
      <c r="J69" s="1106"/>
      <c r="K69" s="1106"/>
      <c r="L69" s="1106"/>
      <c r="M69" s="1106"/>
      <c r="N69" s="1106"/>
    </row>
    <row r="70" spans="1:14" x14ac:dyDescent="0.25">
      <c r="A70" s="1106"/>
      <c r="B70" s="1106"/>
      <c r="C70" s="1106"/>
      <c r="D70" s="1106"/>
      <c r="E70" s="1106"/>
      <c r="F70" s="1106"/>
      <c r="G70" s="1106"/>
      <c r="H70" s="1106"/>
      <c r="I70" s="1106"/>
      <c r="J70" s="1106"/>
      <c r="K70" s="1106"/>
      <c r="L70" s="1106"/>
      <c r="M70" s="1106"/>
      <c r="N70" s="1106"/>
    </row>
    <row r="71" spans="1:14" x14ac:dyDescent="0.25">
      <c r="A71" s="1106"/>
      <c r="B71" s="1106"/>
      <c r="C71" s="1106"/>
      <c r="D71" s="1106"/>
      <c r="E71" s="1106"/>
      <c r="F71" s="1106"/>
      <c r="G71" s="1106"/>
      <c r="H71" s="1106"/>
      <c r="I71" s="1106"/>
      <c r="J71" s="1106"/>
      <c r="K71" s="1106"/>
      <c r="L71" s="1106"/>
      <c r="M71" s="1106"/>
      <c r="N71" s="1106"/>
    </row>
    <row r="72" spans="1:14" x14ac:dyDescent="0.25">
      <c r="A72" s="1106"/>
      <c r="B72" s="1106"/>
      <c r="C72" s="1106"/>
      <c r="D72" s="1106"/>
      <c r="E72" s="1106"/>
      <c r="F72" s="1106"/>
      <c r="G72" s="1106"/>
      <c r="H72" s="1106"/>
      <c r="I72" s="1106"/>
      <c r="J72" s="1106"/>
      <c r="K72" s="1106"/>
      <c r="L72" s="1106"/>
      <c r="M72" s="1106"/>
      <c r="N72" s="1106"/>
    </row>
    <row r="73" spans="1:14" x14ac:dyDescent="0.25">
      <c r="A73" s="1106"/>
      <c r="B73" s="1106"/>
      <c r="C73" s="1106"/>
      <c r="D73" s="1106"/>
      <c r="E73" s="1106"/>
      <c r="F73" s="1106"/>
      <c r="G73" s="1106"/>
      <c r="H73" s="1106"/>
      <c r="I73" s="1106"/>
      <c r="J73" s="1106"/>
      <c r="K73" s="1106"/>
      <c r="L73" s="1106"/>
      <c r="M73" s="1106"/>
      <c r="N73" s="1106"/>
    </row>
    <row r="74" spans="1:14" x14ac:dyDescent="0.25">
      <c r="A74" s="1106"/>
      <c r="B74" s="1106"/>
      <c r="C74" s="1106"/>
      <c r="D74" s="1106"/>
      <c r="E74" s="1106"/>
      <c r="F74" s="1106"/>
      <c r="G74" s="1106"/>
      <c r="H74" s="1106"/>
      <c r="I74" s="1106"/>
      <c r="J74" s="1106"/>
      <c r="K74" s="1106"/>
      <c r="L74" s="1106"/>
      <c r="M74" s="1106"/>
      <c r="N74" s="1106"/>
    </row>
    <row r="75" spans="1:14" x14ac:dyDescent="0.25">
      <c r="A75" s="1106"/>
      <c r="B75" s="1106"/>
      <c r="C75" s="1106"/>
      <c r="D75" s="1106"/>
      <c r="E75" s="1106"/>
      <c r="F75" s="1106"/>
      <c r="G75" s="1106"/>
      <c r="H75" s="1106"/>
      <c r="I75" s="1106"/>
      <c r="J75" s="1106"/>
      <c r="K75" s="1106"/>
      <c r="L75" s="1106"/>
      <c r="M75" s="1106"/>
      <c r="N75" s="1106"/>
    </row>
    <row r="76" spans="1:14" x14ac:dyDescent="0.25">
      <c r="A76" s="1106"/>
      <c r="B76" s="1106"/>
      <c r="C76" s="1106"/>
      <c r="D76" s="1106"/>
      <c r="E76" s="1106"/>
      <c r="F76" s="1106"/>
      <c r="G76" s="1106"/>
      <c r="H76" s="1106"/>
      <c r="I76" s="1106"/>
      <c r="J76" s="1106"/>
      <c r="K76" s="1106"/>
      <c r="L76" s="1106"/>
      <c r="M76" s="1106"/>
      <c r="N76" s="1106"/>
    </row>
    <row r="77" spans="1:14" x14ac:dyDescent="0.25">
      <c r="A77" s="1106"/>
      <c r="B77" s="1106"/>
      <c r="C77" s="1106"/>
      <c r="D77" s="1106"/>
      <c r="E77" s="1106"/>
      <c r="F77" s="1106"/>
      <c r="G77" s="1106"/>
      <c r="H77" s="1106"/>
      <c r="I77" s="1106"/>
      <c r="J77" s="1106"/>
      <c r="K77" s="1106"/>
      <c r="L77" s="1106"/>
      <c r="M77" s="1106"/>
      <c r="N77" s="1106"/>
    </row>
    <row r="78" spans="1:14" x14ac:dyDescent="0.25">
      <c r="A78" s="1106"/>
      <c r="B78" s="1106"/>
      <c r="C78" s="1106"/>
      <c r="D78" s="1106"/>
      <c r="E78" s="1106"/>
      <c r="F78" s="1106"/>
      <c r="G78" s="1106"/>
      <c r="H78" s="1106"/>
      <c r="I78" s="1106"/>
      <c r="J78" s="1106"/>
      <c r="K78" s="1106"/>
      <c r="L78" s="1106"/>
      <c r="M78" s="1106"/>
      <c r="N78" s="1106"/>
    </row>
    <row r="79" spans="1:14" x14ac:dyDescent="0.25">
      <c r="A79" s="1106"/>
      <c r="B79" s="1106"/>
      <c r="C79" s="1106"/>
      <c r="D79" s="1106"/>
      <c r="E79" s="1106"/>
      <c r="F79" s="1106"/>
      <c r="G79" s="1106"/>
      <c r="H79" s="1106"/>
      <c r="I79" s="1106"/>
      <c r="J79" s="1106"/>
      <c r="K79" s="1106"/>
      <c r="L79" s="1106"/>
      <c r="M79" s="1106"/>
      <c r="N79" s="1106"/>
    </row>
    <row r="80" spans="1:14" x14ac:dyDescent="0.25">
      <c r="A80" s="1106"/>
      <c r="B80" s="1106"/>
      <c r="C80" s="1106"/>
      <c r="D80" s="1106"/>
      <c r="E80" s="1106"/>
      <c r="F80" s="1106"/>
      <c r="G80" s="1106"/>
      <c r="H80" s="1106"/>
      <c r="I80" s="1106"/>
      <c r="J80" s="1106"/>
      <c r="K80" s="1106"/>
      <c r="L80" s="1106"/>
      <c r="M80" s="1106"/>
      <c r="N80" s="1106"/>
    </row>
    <row r="81" spans="1:14" x14ac:dyDescent="0.25">
      <c r="A81" s="1106"/>
      <c r="B81" s="1106"/>
      <c r="C81" s="1106"/>
      <c r="D81" s="1106"/>
      <c r="E81" s="1106"/>
      <c r="F81" s="1106"/>
      <c r="G81" s="1106"/>
      <c r="H81" s="1106"/>
      <c r="I81" s="1106"/>
      <c r="J81" s="1106"/>
      <c r="K81" s="1106"/>
      <c r="L81" s="1106"/>
      <c r="M81" s="1106"/>
      <c r="N81" s="1106"/>
    </row>
    <row r="82" spans="1:14" x14ac:dyDescent="0.25">
      <c r="A82" s="1106"/>
      <c r="B82" s="1106"/>
      <c r="C82" s="1106"/>
      <c r="D82" s="1106"/>
      <c r="E82" s="1106"/>
      <c r="F82" s="1106"/>
      <c r="G82" s="1106"/>
      <c r="H82" s="1106"/>
      <c r="I82" s="1106"/>
      <c r="J82" s="1106"/>
      <c r="K82" s="1106"/>
      <c r="L82" s="1106"/>
      <c r="M82" s="1106"/>
      <c r="N82" s="1106"/>
    </row>
    <row r="83" spans="1:14" x14ac:dyDescent="0.25">
      <c r="A83" s="1106"/>
      <c r="B83" s="1106"/>
      <c r="C83" s="1106"/>
      <c r="D83" s="1106"/>
      <c r="E83" s="1106"/>
      <c r="F83" s="1106"/>
      <c r="G83" s="1106"/>
      <c r="H83" s="1106"/>
      <c r="I83" s="1106"/>
      <c r="J83" s="1106"/>
      <c r="K83" s="1106"/>
      <c r="L83" s="1106"/>
      <c r="M83" s="1106"/>
      <c r="N83" s="1106"/>
    </row>
    <row r="84" spans="1:14" x14ac:dyDescent="0.25">
      <c r="A84" s="1106"/>
      <c r="B84" s="1106"/>
      <c r="C84" s="1106"/>
      <c r="D84" s="1106"/>
      <c r="E84" s="1106"/>
      <c r="F84" s="1106"/>
      <c r="G84" s="1106"/>
      <c r="H84" s="1106"/>
      <c r="I84" s="1106"/>
      <c r="J84" s="1106"/>
      <c r="K84" s="1106"/>
      <c r="L84" s="1106"/>
      <c r="M84" s="1106"/>
      <c r="N84" s="1106"/>
    </row>
    <row r="85" spans="1:14" x14ac:dyDescent="0.25">
      <c r="A85" s="1106"/>
      <c r="B85" s="1106"/>
      <c r="C85" s="1106"/>
      <c r="D85" s="1106"/>
      <c r="E85" s="1106"/>
      <c r="F85" s="1106"/>
      <c r="G85" s="1106"/>
      <c r="H85" s="1106"/>
      <c r="I85" s="1106"/>
      <c r="J85" s="1106"/>
      <c r="K85" s="1106"/>
      <c r="L85" s="1106"/>
      <c r="M85" s="1106"/>
      <c r="N85" s="1106"/>
    </row>
    <row r="86" spans="1:14" x14ac:dyDescent="0.25">
      <c r="A86" s="1106"/>
      <c r="B86" s="1106"/>
      <c r="C86" s="1106"/>
      <c r="D86" s="1106"/>
      <c r="E86" s="1106"/>
      <c r="F86" s="1106"/>
      <c r="G86" s="1106"/>
      <c r="H86" s="1106"/>
      <c r="I86" s="1106"/>
      <c r="J86" s="1106"/>
      <c r="K86" s="1106"/>
      <c r="L86" s="1106"/>
      <c r="M86" s="1106"/>
      <c r="N86" s="1106"/>
    </row>
    <row r="87" spans="1:14" x14ac:dyDescent="0.25">
      <c r="A87" s="1106"/>
      <c r="B87" s="1106"/>
      <c r="C87" s="1106"/>
      <c r="D87" s="1106"/>
      <c r="E87" s="1106"/>
      <c r="F87" s="1106"/>
      <c r="G87" s="1106"/>
      <c r="H87" s="1106"/>
      <c r="I87" s="1106"/>
      <c r="J87" s="1106"/>
      <c r="K87" s="1106"/>
      <c r="L87" s="1106"/>
      <c r="M87" s="1106"/>
      <c r="N87" s="1106"/>
    </row>
    <row r="88" spans="1:14" x14ac:dyDescent="0.25">
      <c r="A88" s="1106"/>
      <c r="B88" s="1106"/>
      <c r="C88" s="1106"/>
      <c r="D88" s="1106"/>
      <c r="E88" s="1106"/>
      <c r="F88" s="1106"/>
      <c r="G88" s="1106"/>
      <c r="H88" s="1106"/>
      <c r="I88" s="1106"/>
      <c r="J88" s="1106"/>
      <c r="K88" s="1106"/>
      <c r="L88" s="1106"/>
      <c r="M88" s="1106"/>
      <c r="N88" s="1106"/>
    </row>
    <row r="89" spans="1:14" x14ac:dyDescent="0.25">
      <c r="A89" s="1106"/>
      <c r="B89" s="1106"/>
      <c r="C89" s="1106"/>
      <c r="D89" s="1106"/>
      <c r="E89" s="1106"/>
      <c r="F89" s="1106"/>
      <c r="G89" s="1106"/>
      <c r="H89" s="1106"/>
      <c r="I89" s="1106"/>
      <c r="J89" s="1106"/>
      <c r="K89" s="1106"/>
      <c r="L89" s="1106"/>
      <c r="M89" s="1106"/>
      <c r="N89" s="1106"/>
    </row>
    <row r="90" spans="1:14" x14ac:dyDescent="0.25">
      <c r="A90" s="1106"/>
      <c r="B90" s="1106"/>
      <c r="C90" s="1106"/>
      <c r="D90" s="1106"/>
      <c r="E90" s="1106"/>
      <c r="F90" s="1106"/>
      <c r="G90" s="1106"/>
      <c r="H90" s="1106"/>
      <c r="I90" s="1106"/>
      <c r="J90" s="1106"/>
      <c r="K90" s="1106"/>
      <c r="L90" s="1106"/>
      <c r="M90" s="1106"/>
      <c r="N90" s="1106"/>
    </row>
    <row r="91" spans="1:14" x14ac:dyDescent="0.25">
      <c r="A91" s="1106"/>
      <c r="B91" s="1106"/>
      <c r="C91" s="1106"/>
      <c r="D91" s="1106"/>
      <c r="E91" s="1106"/>
      <c r="F91" s="1106"/>
      <c r="G91" s="1106"/>
      <c r="H91" s="1106"/>
      <c r="I91" s="1106"/>
      <c r="J91" s="1106"/>
      <c r="K91" s="1106"/>
      <c r="L91" s="1106"/>
      <c r="M91" s="1106"/>
      <c r="N91" s="1106"/>
    </row>
    <row r="92" spans="1:14" x14ac:dyDescent="0.25">
      <c r="A92" s="1106"/>
      <c r="B92" s="1106"/>
      <c r="C92" s="1106"/>
      <c r="D92" s="1106"/>
      <c r="E92" s="1106"/>
      <c r="F92" s="1106"/>
      <c r="G92" s="1106"/>
      <c r="H92" s="1106"/>
      <c r="I92" s="1106"/>
      <c r="J92" s="1106"/>
      <c r="K92" s="1106"/>
      <c r="L92" s="1106"/>
      <c r="M92" s="1106"/>
      <c r="N92" s="1106"/>
    </row>
    <row r="93" spans="1:14" x14ac:dyDescent="0.25">
      <c r="A93" s="1106"/>
      <c r="B93" s="1106"/>
      <c r="C93" s="1106"/>
      <c r="D93" s="1106"/>
      <c r="E93" s="1106"/>
      <c r="F93" s="1106"/>
      <c r="G93" s="1106"/>
      <c r="H93" s="1106"/>
      <c r="I93" s="1106"/>
      <c r="J93" s="1106"/>
      <c r="K93" s="1106"/>
      <c r="L93" s="1106"/>
      <c r="M93" s="1106"/>
      <c r="N93" s="1106"/>
    </row>
    <row r="94" spans="1:14" x14ac:dyDescent="0.25">
      <c r="A94" s="1106"/>
      <c r="B94" s="1106"/>
      <c r="C94" s="1106"/>
      <c r="D94" s="1106"/>
      <c r="E94" s="1106"/>
      <c r="F94" s="1106"/>
      <c r="G94" s="1106"/>
      <c r="H94" s="1106"/>
      <c r="I94" s="1106"/>
      <c r="J94" s="1106"/>
      <c r="K94" s="1106"/>
      <c r="L94" s="1106"/>
      <c r="M94" s="1106"/>
      <c r="N94" s="1106"/>
    </row>
    <row r="95" spans="1:14" x14ac:dyDescent="0.25">
      <c r="A95" s="1106"/>
      <c r="B95" s="1106"/>
      <c r="C95" s="1106"/>
      <c r="D95" s="1106"/>
      <c r="E95" s="1106"/>
      <c r="F95" s="1106"/>
      <c r="G95" s="1106"/>
      <c r="H95" s="1106"/>
      <c r="I95" s="1106"/>
      <c r="J95" s="1106"/>
      <c r="K95" s="1106"/>
      <c r="L95" s="1106"/>
      <c r="M95" s="1106"/>
      <c r="N95" s="1106"/>
    </row>
    <row r="96" spans="1:14" x14ac:dyDescent="0.25">
      <c r="A96" s="1106"/>
      <c r="B96" s="1106"/>
      <c r="C96" s="1106"/>
      <c r="D96" s="1106"/>
      <c r="E96" s="1106"/>
      <c r="F96" s="1106"/>
      <c r="G96" s="1106"/>
      <c r="H96" s="1106"/>
      <c r="I96" s="1106"/>
      <c r="J96" s="1106"/>
      <c r="K96" s="1106"/>
      <c r="L96" s="1106"/>
      <c r="M96" s="1106"/>
      <c r="N96" s="1106"/>
    </row>
    <row r="97" spans="1:14" x14ac:dyDescent="0.25">
      <c r="A97" s="1106"/>
      <c r="B97" s="1106"/>
      <c r="C97" s="1106"/>
      <c r="D97" s="1106"/>
      <c r="E97" s="1106"/>
      <c r="F97" s="1106"/>
      <c r="G97" s="1106"/>
      <c r="H97" s="1106"/>
      <c r="I97" s="1106"/>
      <c r="J97" s="1106"/>
      <c r="K97" s="1106"/>
      <c r="L97" s="1106"/>
      <c r="M97" s="1106"/>
      <c r="N97" s="1106"/>
    </row>
    <row r="98" spans="1:14" x14ac:dyDescent="0.25">
      <c r="A98" s="1106"/>
      <c r="B98" s="1106"/>
      <c r="C98" s="1106"/>
      <c r="D98" s="1106"/>
      <c r="E98" s="1106"/>
      <c r="F98" s="1106"/>
      <c r="G98" s="1106"/>
      <c r="H98" s="1106"/>
      <c r="I98" s="1106"/>
      <c r="J98" s="1106"/>
      <c r="K98" s="1106"/>
      <c r="L98" s="1106"/>
      <c r="M98" s="1106"/>
      <c r="N98" s="1106"/>
    </row>
    <row r="99" spans="1:14" x14ac:dyDescent="0.25">
      <c r="A99" s="1106"/>
      <c r="B99" s="1106"/>
      <c r="C99" s="1106"/>
      <c r="D99" s="1106"/>
      <c r="E99" s="1106"/>
      <c r="F99" s="1106"/>
      <c r="G99" s="1106"/>
      <c r="H99" s="1106"/>
      <c r="I99" s="1106"/>
      <c r="J99" s="1106"/>
      <c r="K99" s="1106"/>
      <c r="L99" s="1106"/>
      <c r="M99" s="1106"/>
      <c r="N99" s="1106"/>
    </row>
    <row r="100" spans="1:14" x14ac:dyDescent="0.25">
      <c r="A100" s="1106"/>
      <c r="B100" s="1106"/>
      <c r="C100" s="1106"/>
      <c r="D100" s="1106"/>
      <c r="E100" s="1106"/>
      <c r="F100" s="1106"/>
      <c r="G100" s="1106"/>
      <c r="H100" s="1106"/>
      <c r="I100" s="1106"/>
      <c r="J100" s="1106"/>
      <c r="K100" s="1106"/>
      <c r="L100" s="1106"/>
      <c r="M100" s="1106"/>
      <c r="N100" s="1106"/>
    </row>
    <row r="101" spans="1:14" x14ac:dyDescent="0.25">
      <c r="A101" s="1106"/>
      <c r="B101" s="1106"/>
      <c r="C101" s="1106"/>
      <c r="D101" s="1106"/>
      <c r="E101" s="1106"/>
      <c r="F101" s="1106"/>
      <c r="G101" s="1106"/>
      <c r="H101" s="1106"/>
      <c r="I101" s="1106"/>
      <c r="J101" s="1106"/>
      <c r="K101" s="1106"/>
      <c r="L101" s="1106"/>
      <c r="M101" s="1106"/>
      <c r="N101" s="1106"/>
    </row>
    <row r="102" spans="1:14" x14ac:dyDescent="0.25">
      <c r="A102" s="1106"/>
      <c r="B102" s="1106"/>
      <c r="C102" s="1106"/>
      <c r="D102" s="1106"/>
      <c r="E102" s="1106"/>
      <c r="F102" s="1106"/>
      <c r="G102" s="1106"/>
      <c r="H102" s="1106"/>
      <c r="I102" s="1106"/>
      <c r="J102" s="1106"/>
      <c r="K102" s="1106"/>
      <c r="L102" s="1106"/>
      <c r="M102" s="1106"/>
      <c r="N102" s="1106"/>
    </row>
    <row r="103" spans="1:14" x14ac:dyDescent="0.25">
      <c r="A103" s="1106"/>
      <c r="B103" s="1106"/>
      <c r="C103" s="1106"/>
      <c r="D103" s="1106"/>
      <c r="E103" s="1106"/>
      <c r="F103" s="1106"/>
      <c r="G103" s="1106"/>
      <c r="H103" s="1106"/>
      <c r="I103" s="1106"/>
      <c r="J103" s="1106"/>
      <c r="K103" s="1106"/>
      <c r="L103" s="1106"/>
      <c r="M103" s="1106"/>
      <c r="N103" s="1106"/>
    </row>
    <row r="104" spans="1:14" x14ac:dyDescent="0.25">
      <c r="A104" s="1106"/>
      <c r="B104" s="1106"/>
      <c r="C104" s="1106"/>
      <c r="D104" s="1106"/>
      <c r="E104" s="1106"/>
      <c r="F104" s="1106"/>
      <c r="G104" s="1106"/>
      <c r="H104" s="1106"/>
      <c r="I104" s="1106"/>
      <c r="J104" s="1106"/>
      <c r="K104" s="1106"/>
      <c r="L104" s="1106"/>
      <c r="M104" s="1106"/>
      <c r="N104" s="1106"/>
    </row>
    <row r="105" spans="1:14" x14ac:dyDescent="0.25">
      <c r="A105" s="1106"/>
      <c r="B105" s="1106"/>
      <c r="C105" s="1106"/>
      <c r="D105" s="1106"/>
      <c r="E105" s="1106"/>
      <c r="F105" s="1106"/>
      <c r="G105" s="1106"/>
      <c r="H105" s="1106"/>
      <c r="I105" s="1106"/>
      <c r="J105" s="1106"/>
      <c r="K105" s="1106"/>
      <c r="L105" s="1106"/>
      <c r="M105" s="1106"/>
      <c r="N105" s="1106"/>
    </row>
    <row r="106" spans="1:14" x14ac:dyDescent="0.25">
      <c r="A106" s="1106"/>
      <c r="B106" s="1106"/>
      <c r="C106" s="1106"/>
      <c r="D106" s="1106"/>
      <c r="E106" s="1106"/>
      <c r="F106" s="1106"/>
      <c r="G106" s="1106"/>
      <c r="H106" s="1106"/>
      <c r="I106" s="1106"/>
      <c r="J106" s="1106"/>
      <c r="K106" s="1106"/>
      <c r="L106" s="1106"/>
      <c r="M106" s="1106"/>
      <c r="N106" s="1106"/>
    </row>
    <row r="107" spans="1:14" x14ac:dyDescent="0.25">
      <c r="A107" s="1106"/>
      <c r="B107" s="1106"/>
      <c r="C107" s="1106"/>
      <c r="D107" s="1106"/>
      <c r="E107" s="1106"/>
      <c r="F107" s="1106"/>
      <c r="G107" s="1106"/>
      <c r="H107" s="1106"/>
      <c r="I107" s="1106"/>
      <c r="J107" s="1106"/>
      <c r="K107" s="1106"/>
      <c r="L107" s="1106"/>
      <c r="M107" s="1106"/>
      <c r="N107" s="1106"/>
    </row>
    <row r="108" spans="1:14" x14ac:dyDescent="0.25">
      <c r="A108" s="1106"/>
      <c r="B108" s="1106"/>
      <c r="C108" s="1106"/>
      <c r="D108" s="1106"/>
      <c r="E108" s="1106"/>
      <c r="F108" s="1106"/>
      <c r="G108" s="1106"/>
      <c r="H108" s="1106"/>
      <c r="I108" s="1106"/>
      <c r="J108" s="1106"/>
      <c r="K108" s="1106"/>
      <c r="L108" s="1106"/>
      <c r="M108" s="1106"/>
      <c r="N108" s="1106"/>
    </row>
    <row r="109" spans="1:14" x14ac:dyDescent="0.25">
      <c r="A109" s="1106"/>
      <c r="B109" s="1106"/>
      <c r="C109" s="1106"/>
      <c r="D109" s="1106"/>
      <c r="E109" s="1106"/>
      <c r="F109" s="1106"/>
      <c r="G109" s="1106"/>
      <c r="H109" s="1106"/>
      <c r="I109" s="1106"/>
      <c r="J109" s="1106"/>
      <c r="K109" s="1106"/>
      <c r="L109" s="1106"/>
      <c r="M109" s="1106"/>
      <c r="N109" s="1106"/>
    </row>
    <row r="110" spans="1:14" x14ac:dyDescent="0.25">
      <c r="A110" s="1106"/>
      <c r="B110" s="1106"/>
      <c r="C110" s="1106"/>
      <c r="D110" s="1106"/>
      <c r="E110" s="1106"/>
      <c r="F110" s="1106"/>
      <c r="G110" s="1106"/>
      <c r="H110" s="1106"/>
      <c r="I110" s="1106"/>
      <c r="J110" s="1106"/>
      <c r="K110" s="1106"/>
      <c r="L110" s="1106"/>
      <c r="M110" s="1106"/>
      <c r="N110" s="1106"/>
    </row>
    <row r="111" spans="1:14" x14ac:dyDescent="0.25">
      <c r="A111" s="1106"/>
      <c r="B111" s="1106"/>
      <c r="C111" s="1106"/>
      <c r="D111" s="1106"/>
      <c r="E111" s="1106"/>
      <c r="F111" s="1106"/>
      <c r="G111" s="1106"/>
      <c r="H111" s="1106"/>
      <c r="I111" s="1106"/>
      <c r="J111" s="1106"/>
      <c r="K111" s="1106"/>
      <c r="L111" s="1106"/>
      <c r="M111" s="1106"/>
      <c r="N111" s="1106"/>
    </row>
    <row r="112" spans="1:14" x14ac:dyDescent="0.25">
      <c r="A112" s="1106"/>
      <c r="B112" s="1106"/>
      <c r="C112" s="1106"/>
      <c r="D112" s="1106"/>
      <c r="E112" s="1106"/>
      <c r="F112" s="1106"/>
      <c r="G112" s="1106"/>
      <c r="H112" s="1106"/>
      <c r="I112" s="1106"/>
      <c r="J112" s="1106"/>
      <c r="K112" s="1106"/>
      <c r="L112" s="1106"/>
      <c r="M112" s="1106"/>
      <c r="N112" s="1106"/>
    </row>
    <row r="113" spans="1:14" x14ac:dyDescent="0.25">
      <c r="A113" s="1106"/>
      <c r="B113" s="1106"/>
      <c r="C113" s="1106"/>
      <c r="D113" s="1106"/>
      <c r="E113" s="1106"/>
      <c r="F113" s="1106"/>
      <c r="G113" s="1106"/>
      <c r="H113" s="1106"/>
      <c r="I113" s="1106"/>
      <c r="J113" s="1106"/>
      <c r="K113" s="1106"/>
      <c r="L113" s="1106"/>
      <c r="M113" s="1106"/>
      <c r="N113" s="1106"/>
    </row>
    <row r="114" spans="1:14" x14ac:dyDescent="0.25">
      <c r="A114" s="1106"/>
      <c r="B114" s="1106"/>
      <c r="C114" s="1106"/>
      <c r="D114" s="1106"/>
      <c r="E114" s="1106"/>
      <c r="F114" s="1106"/>
      <c r="G114" s="1106"/>
      <c r="H114" s="1106"/>
      <c r="I114" s="1106"/>
      <c r="J114" s="1106"/>
      <c r="K114" s="1106"/>
      <c r="L114" s="1106"/>
      <c r="M114" s="1106"/>
      <c r="N114" s="1106"/>
    </row>
    <row r="115" spans="1:14" x14ac:dyDescent="0.25">
      <c r="A115" s="1106"/>
      <c r="B115" s="1106"/>
      <c r="C115" s="1106"/>
      <c r="D115" s="1106"/>
      <c r="E115" s="1106"/>
      <c r="F115" s="1106"/>
      <c r="G115" s="1106"/>
      <c r="H115" s="1106"/>
      <c r="I115" s="1106"/>
      <c r="J115" s="1106"/>
      <c r="K115" s="1106"/>
      <c r="L115" s="1106"/>
      <c r="M115" s="1106"/>
      <c r="N115" s="1106"/>
    </row>
    <row r="116" spans="1:14" x14ac:dyDescent="0.25">
      <c r="A116" s="1106"/>
      <c r="B116" s="1106"/>
      <c r="C116" s="1106"/>
      <c r="D116" s="1106"/>
      <c r="E116" s="1106"/>
      <c r="F116" s="1106"/>
      <c r="G116" s="1106"/>
      <c r="H116" s="1106"/>
      <c r="I116" s="1106"/>
      <c r="J116" s="1106"/>
      <c r="K116" s="1106"/>
      <c r="L116" s="1106"/>
      <c r="M116" s="1106"/>
      <c r="N116" s="1106"/>
    </row>
    <row r="117" spans="1:14" x14ac:dyDescent="0.25">
      <c r="A117" s="1106"/>
      <c r="B117" s="1106"/>
      <c r="C117" s="1106"/>
      <c r="D117" s="1106"/>
      <c r="E117" s="1106"/>
      <c r="F117" s="1106"/>
      <c r="G117" s="1106"/>
      <c r="H117" s="1106"/>
      <c r="I117" s="1106"/>
      <c r="J117" s="1106"/>
      <c r="K117" s="1106"/>
      <c r="L117" s="1106"/>
      <c r="M117" s="1106"/>
      <c r="N117" s="1106"/>
    </row>
    <row r="118" spans="1:14" x14ac:dyDescent="0.25">
      <c r="A118" s="1106"/>
      <c r="B118" s="1106"/>
      <c r="C118" s="1106"/>
      <c r="D118" s="1106"/>
      <c r="E118" s="1106"/>
      <c r="F118" s="1106"/>
      <c r="G118" s="1106"/>
      <c r="H118" s="1106"/>
      <c r="I118" s="1106"/>
      <c r="J118" s="1106"/>
      <c r="K118" s="1106"/>
      <c r="L118" s="1106"/>
      <c r="M118" s="1106"/>
      <c r="N118" s="1106"/>
    </row>
    <row r="119" spans="1:14" x14ac:dyDescent="0.25">
      <c r="A119" s="1106"/>
      <c r="B119" s="1106"/>
      <c r="C119" s="1106"/>
      <c r="D119" s="1106"/>
      <c r="E119" s="1106"/>
      <c r="F119" s="1106"/>
      <c r="G119" s="1106"/>
      <c r="H119" s="1106"/>
      <c r="I119" s="1106"/>
      <c r="J119" s="1106"/>
      <c r="K119" s="1106"/>
      <c r="L119" s="1106"/>
      <c r="M119" s="1106"/>
      <c r="N119" s="1106"/>
    </row>
    <row r="120" spans="1:14" x14ac:dyDescent="0.25">
      <c r="A120" s="1106"/>
      <c r="B120" s="1106"/>
      <c r="C120" s="1106"/>
      <c r="D120" s="1106"/>
      <c r="E120" s="1106"/>
      <c r="F120" s="1106"/>
      <c r="G120" s="1106"/>
      <c r="H120" s="1106"/>
      <c r="I120" s="1106"/>
      <c r="J120" s="1106"/>
      <c r="K120" s="1106"/>
      <c r="L120" s="1106"/>
      <c r="M120" s="1106"/>
      <c r="N120" s="1106"/>
    </row>
    <row r="121" spans="1:14" x14ac:dyDescent="0.25">
      <c r="A121" s="1106"/>
      <c r="B121" s="1106"/>
      <c r="C121" s="1106"/>
      <c r="D121" s="1106"/>
      <c r="E121" s="1106"/>
      <c r="F121" s="1106"/>
      <c r="G121" s="1106"/>
      <c r="H121" s="1106"/>
      <c r="I121" s="1106"/>
      <c r="J121" s="1106"/>
      <c r="K121" s="1106"/>
      <c r="L121" s="1106"/>
      <c r="M121" s="1106"/>
      <c r="N121" s="1106"/>
    </row>
    <row r="122" spans="1:14" x14ac:dyDescent="0.25">
      <c r="A122" s="1106"/>
      <c r="B122" s="1106"/>
      <c r="C122" s="1106"/>
      <c r="D122" s="1106"/>
      <c r="E122" s="1106"/>
      <c r="F122" s="1106"/>
      <c r="G122" s="1106"/>
      <c r="H122" s="1106"/>
      <c r="I122" s="1106"/>
      <c r="J122" s="1106"/>
      <c r="K122" s="1106"/>
      <c r="L122" s="1106"/>
      <c r="M122" s="1106"/>
      <c r="N122" s="1106"/>
    </row>
    <row r="123" spans="1:14" x14ac:dyDescent="0.25">
      <c r="A123" s="1106"/>
      <c r="B123" s="1106"/>
      <c r="C123" s="1106"/>
      <c r="D123" s="1106"/>
      <c r="E123" s="1106"/>
      <c r="F123" s="1106"/>
      <c r="G123" s="1106"/>
      <c r="H123" s="1106"/>
      <c r="I123" s="1106"/>
      <c r="J123" s="1106"/>
      <c r="K123" s="1106"/>
      <c r="L123" s="1106"/>
      <c r="M123" s="1106"/>
      <c r="N123" s="1106"/>
    </row>
    <row r="124" spans="1:14" x14ac:dyDescent="0.25">
      <c r="A124" s="1106"/>
      <c r="B124" s="1106"/>
      <c r="C124" s="1106"/>
      <c r="D124" s="1106"/>
      <c r="E124" s="1106"/>
      <c r="F124" s="1106"/>
      <c r="G124" s="1106"/>
      <c r="H124" s="1106"/>
      <c r="I124" s="1106"/>
      <c r="J124" s="1106"/>
      <c r="K124" s="1106"/>
      <c r="L124" s="1106"/>
      <c r="M124" s="1106"/>
      <c r="N124" s="1106"/>
    </row>
    <row r="125" spans="1:14" x14ac:dyDescent="0.25">
      <c r="A125" s="1106"/>
      <c r="B125" s="1106"/>
      <c r="C125" s="1106"/>
      <c r="D125" s="1106"/>
      <c r="E125" s="1106"/>
      <c r="F125" s="1106"/>
      <c r="G125" s="1106"/>
      <c r="H125" s="1106"/>
      <c r="I125" s="1106"/>
      <c r="J125" s="1106"/>
      <c r="K125" s="1106"/>
      <c r="L125" s="1106"/>
      <c r="M125" s="1106"/>
      <c r="N125" s="1106"/>
    </row>
    <row r="126" spans="1:14" x14ac:dyDescent="0.25">
      <c r="A126" s="1106"/>
      <c r="B126" s="1106"/>
      <c r="C126" s="1106"/>
      <c r="D126" s="1106"/>
      <c r="E126" s="1106"/>
      <c r="F126" s="1106"/>
      <c r="G126" s="1106"/>
      <c r="H126" s="1106"/>
      <c r="I126" s="1106"/>
      <c r="J126" s="1106"/>
      <c r="K126" s="1106"/>
      <c r="L126" s="1106"/>
      <c r="M126" s="1106"/>
      <c r="N126" s="1106"/>
    </row>
    <row r="127" spans="1:14" x14ac:dyDescent="0.25">
      <c r="A127" s="1106"/>
      <c r="B127" s="1106"/>
      <c r="C127" s="1106"/>
      <c r="D127" s="1106"/>
      <c r="E127" s="1106"/>
      <c r="F127" s="1106"/>
      <c r="G127" s="1106"/>
      <c r="H127" s="1106"/>
      <c r="I127" s="1106"/>
      <c r="J127" s="1106"/>
      <c r="K127" s="1106"/>
      <c r="L127" s="1106"/>
      <c r="M127" s="1106"/>
      <c r="N127" s="1106"/>
    </row>
    <row r="128" spans="1:14" x14ac:dyDescent="0.25">
      <c r="A128" s="1106"/>
      <c r="B128" s="1106"/>
      <c r="C128" s="1106"/>
      <c r="D128" s="1106"/>
      <c r="E128" s="1106"/>
      <c r="F128" s="1106"/>
      <c r="G128" s="1106"/>
      <c r="H128" s="1106"/>
      <c r="I128" s="1106"/>
      <c r="J128" s="1106"/>
      <c r="K128" s="1106"/>
      <c r="L128" s="1106"/>
      <c r="M128" s="1106"/>
      <c r="N128" s="1106"/>
    </row>
    <row r="129" spans="1:14" x14ac:dyDescent="0.25">
      <c r="A129" s="1106"/>
      <c r="B129" s="1106"/>
      <c r="C129" s="1106"/>
      <c r="D129" s="1106"/>
      <c r="E129" s="1106"/>
      <c r="F129" s="1106"/>
      <c r="G129" s="1106"/>
      <c r="H129" s="1106"/>
      <c r="I129" s="1106"/>
      <c r="J129" s="1106"/>
      <c r="K129" s="1106"/>
      <c r="L129" s="1106"/>
      <c r="M129" s="1106"/>
      <c r="N129" s="1106"/>
    </row>
    <row r="130" spans="1:14" x14ac:dyDescent="0.25">
      <c r="A130" s="1106"/>
      <c r="B130" s="1106"/>
      <c r="C130" s="1106"/>
      <c r="D130" s="1106"/>
      <c r="E130" s="1106"/>
      <c r="F130" s="1106"/>
      <c r="G130" s="1106"/>
      <c r="H130" s="1106"/>
      <c r="I130" s="1106"/>
      <c r="J130" s="1106"/>
      <c r="K130" s="1106"/>
      <c r="L130" s="1106"/>
      <c r="M130" s="1106"/>
      <c r="N130" s="1106"/>
    </row>
    <row r="131" spans="1:14" x14ac:dyDescent="0.25">
      <c r="A131" s="1106"/>
      <c r="B131" s="1106"/>
      <c r="C131" s="1106"/>
      <c r="D131" s="1106"/>
      <c r="E131" s="1106"/>
      <c r="F131" s="1106"/>
      <c r="G131" s="1106"/>
      <c r="H131" s="1106"/>
      <c r="I131" s="1106"/>
      <c r="J131" s="1106"/>
      <c r="K131" s="1106"/>
      <c r="L131" s="1106"/>
      <c r="M131" s="1106"/>
      <c r="N131" s="1106"/>
    </row>
    <row r="132" spans="1:14" x14ac:dyDescent="0.25">
      <c r="A132" s="1106"/>
      <c r="B132" s="1106"/>
      <c r="C132" s="1106"/>
      <c r="D132" s="1106"/>
      <c r="E132" s="1106"/>
      <c r="F132" s="1106"/>
      <c r="G132" s="1106"/>
      <c r="H132" s="1106"/>
      <c r="I132" s="1106"/>
      <c r="J132" s="1106"/>
      <c r="K132" s="1106"/>
      <c r="L132" s="1106"/>
      <c r="M132" s="1106"/>
      <c r="N132" s="1106"/>
    </row>
    <row r="133" spans="1:14" x14ac:dyDescent="0.25">
      <c r="A133" s="1106"/>
      <c r="B133" s="1106"/>
      <c r="C133" s="1106"/>
      <c r="D133" s="1106"/>
      <c r="E133" s="1106"/>
      <c r="F133" s="1106"/>
      <c r="G133" s="1106"/>
      <c r="H133" s="1106"/>
      <c r="I133" s="1106"/>
      <c r="J133" s="1106"/>
      <c r="K133" s="1106"/>
      <c r="L133" s="1106"/>
      <c r="M133" s="1106"/>
      <c r="N133" s="1106"/>
    </row>
    <row r="134" spans="1:14" x14ac:dyDescent="0.25">
      <c r="A134" s="1106"/>
      <c r="B134" s="1106"/>
      <c r="C134" s="1106"/>
      <c r="D134" s="1106"/>
      <c r="E134" s="1106"/>
      <c r="F134" s="1106"/>
      <c r="G134" s="1106"/>
      <c r="H134" s="1106"/>
      <c r="I134" s="1106"/>
      <c r="J134" s="1106"/>
      <c r="K134" s="1106"/>
      <c r="L134" s="1106"/>
      <c r="M134" s="1106"/>
      <c r="N134" s="1106"/>
    </row>
    <row r="135" spans="1:14" x14ac:dyDescent="0.25">
      <c r="A135" s="1106"/>
      <c r="B135" s="1106"/>
      <c r="C135" s="1106"/>
      <c r="D135" s="1106"/>
      <c r="E135" s="1106"/>
      <c r="F135" s="1106"/>
      <c r="G135" s="1106"/>
      <c r="H135" s="1106"/>
      <c r="I135" s="1106"/>
      <c r="J135" s="1106"/>
      <c r="K135" s="1106"/>
      <c r="L135" s="1106"/>
      <c r="M135" s="1106"/>
      <c r="N135" s="1106"/>
    </row>
    <row r="136" spans="1:14" x14ac:dyDescent="0.25">
      <c r="A136" s="1106"/>
      <c r="B136" s="1106"/>
      <c r="C136" s="1106"/>
      <c r="D136" s="1106"/>
      <c r="E136" s="1106"/>
      <c r="F136" s="1106"/>
      <c r="G136" s="1106"/>
      <c r="H136" s="1106"/>
      <c r="I136" s="1106"/>
      <c r="J136" s="1106"/>
      <c r="K136" s="1106"/>
      <c r="L136" s="1106"/>
      <c r="M136" s="1106"/>
      <c r="N136" s="1106"/>
    </row>
    <row r="137" spans="1:14" x14ac:dyDescent="0.25">
      <c r="A137" s="1106"/>
      <c r="B137" s="1106"/>
      <c r="C137" s="1106"/>
      <c r="D137" s="1106"/>
      <c r="E137" s="1106"/>
      <c r="F137" s="1106"/>
      <c r="G137" s="1106"/>
      <c r="H137" s="1106"/>
      <c r="I137" s="1106"/>
      <c r="J137" s="1106"/>
      <c r="K137" s="1106"/>
      <c r="L137" s="1106"/>
      <c r="M137" s="1106"/>
      <c r="N137" s="1106"/>
    </row>
    <row r="138" spans="1:14" x14ac:dyDescent="0.25">
      <c r="A138" s="1106"/>
      <c r="B138" s="1106"/>
      <c r="C138" s="1106"/>
      <c r="D138" s="1106"/>
      <c r="E138" s="1106"/>
      <c r="F138" s="1106"/>
      <c r="G138" s="1106"/>
      <c r="H138" s="1106"/>
      <c r="I138" s="1106"/>
      <c r="J138" s="1106"/>
      <c r="K138" s="1106"/>
      <c r="L138" s="1106"/>
      <c r="M138" s="1106"/>
      <c r="N138" s="1106"/>
    </row>
    <row r="139" spans="1:14" x14ac:dyDescent="0.25">
      <c r="A139" s="1106"/>
      <c r="B139" s="1106"/>
      <c r="C139" s="1106"/>
      <c r="D139" s="1106"/>
      <c r="E139" s="1106"/>
      <c r="F139" s="1106"/>
      <c r="G139" s="1106"/>
      <c r="H139" s="1106"/>
      <c r="I139" s="1106"/>
      <c r="J139" s="1106"/>
      <c r="K139" s="1106"/>
      <c r="L139" s="1106"/>
      <c r="M139" s="1106"/>
      <c r="N139" s="1106"/>
    </row>
    <row r="140" spans="1:14" x14ac:dyDescent="0.25">
      <c r="A140" s="1106"/>
      <c r="B140" s="1106"/>
      <c r="C140" s="1106"/>
      <c r="D140" s="1106"/>
      <c r="E140" s="1106"/>
      <c r="F140" s="1106"/>
      <c r="G140" s="1106"/>
      <c r="H140" s="1106"/>
      <c r="I140" s="1106"/>
      <c r="J140" s="1106"/>
      <c r="K140" s="1106"/>
      <c r="L140" s="1106"/>
      <c r="M140" s="1106"/>
      <c r="N140" s="1106"/>
    </row>
    <row r="141" spans="1:14" x14ac:dyDescent="0.25">
      <c r="A141" s="1106"/>
      <c r="B141" s="1106"/>
      <c r="C141" s="1106"/>
      <c r="D141" s="1106"/>
      <c r="E141" s="1106"/>
      <c r="F141" s="1106"/>
      <c r="G141" s="1106"/>
      <c r="H141" s="1106"/>
      <c r="I141" s="1106"/>
      <c r="J141" s="1106"/>
      <c r="K141" s="1106"/>
      <c r="L141" s="1106"/>
      <c r="M141" s="1106"/>
      <c r="N141" s="1106"/>
    </row>
    <row r="142" spans="1:14" x14ac:dyDescent="0.25">
      <c r="A142" s="1106"/>
      <c r="B142" s="1106"/>
      <c r="C142" s="1106"/>
      <c r="D142" s="1106"/>
      <c r="E142" s="1106"/>
      <c r="F142" s="1106"/>
      <c r="G142" s="1106"/>
      <c r="H142" s="1106"/>
      <c r="I142" s="1106"/>
      <c r="J142" s="1106"/>
      <c r="K142" s="1106"/>
      <c r="L142" s="1106"/>
      <c r="M142" s="1106"/>
      <c r="N142" s="1106"/>
    </row>
    <row r="143" spans="1:14" x14ac:dyDescent="0.25">
      <c r="A143" s="1106"/>
      <c r="B143" s="1106"/>
      <c r="C143" s="1106"/>
      <c r="D143" s="1106"/>
      <c r="E143" s="1106"/>
      <c r="F143" s="1106"/>
      <c r="G143" s="1106"/>
      <c r="H143" s="1106"/>
      <c r="I143" s="1106"/>
      <c r="J143" s="1106"/>
      <c r="K143" s="1106"/>
      <c r="L143" s="1106"/>
      <c r="M143" s="1106"/>
      <c r="N143" s="1106"/>
    </row>
    <row r="144" spans="1:14" x14ac:dyDescent="0.25">
      <c r="A144" s="1106"/>
      <c r="B144" s="1106"/>
      <c r="C144" s="1106"/>
      <c r="D144" s="1106"/>
      <c r="E144" s="1106"/>
      <c r="F144" s="1106"/>
      <c r="G144" s="1106"/>
      <c r="H144" s="1106"/>
      <c r="I144" s="1106"/>
      <c r="J144" s="1106"/>
      <c r="K144" s="1106"/>
      <c r="L144" s="1106"/>
      <c r="M144" s="1106"/>
      <c r="N144" s="1106"/>
    </row>
    <row r="145" spans="1:14" x14ac:dyDescent="0.25">
      <c r="A145" s="1106"/>
      <c r="B145" s="1106"/>
      <c r="C145" s="1106"/>
      <c r="D145" s="1106"/>
      <c r="E145" s="1106"/>
      <c r="F145" s="1106"/>
      <c r="G145" s="1106"/>
      <c r="H145" s="1106"/>
      <c r="I145" s="1106"/>
      <c r="J145" s="1106"/>
      <c r="K145" s="1106"/>
      <c r="L145" s="1106"/>
      <c r="M145" s="1106"/>
      <c r="N145" s="1106"/>
    </row>
    <row r="146" spans="1:14" x14ac:dyDescent="0.25">
      <c r="A146" s="1106"/>
      <c r="B146" s="1106"/>
      <c r="C146" s="1106"/>
      <c r="D146" s="1106"/>
      <c r="E146" s="1106"/>
      <c r="F146" s="1106"/>
      <c r="G146" s="1106"/>
      <c r="H146" s="1106"/>
      <c r="I146" s="1106"/>
      <c r="J146" s="1106"/>
      <c r="K146" s="1106"/>
      <c r="L146" s="1106"/>
      <c r="M146" s="1106"/>
      <c r="N146" s="1106"/>
    </row>
    <row r="147" spans="1:14" x14ac:dyDescent="0.25">
      <c r="A147" s="1106"/>
      <c r="B147" s="1106"/>
      <c r="C147" s="1106"/>
      <c r="D147" s="1106"/>
      <c r="E147" s="1106"/>
      <c r="F147" s="1106"/>
      <c r="G147" s="1106"/>
      <c r="H147" s="1106"/>
      <c r="I147" s="1106"/>
      <c r="J147" s="1106"/>
      <c r="K147" s="1106"/>
      <c r="L147" s="1106"/>
      <c r="M147" s="1106"/>
      <c r="N147" s="1106"/>
    </row>
    <row r="148" spans="1:14" x14ac:dyDescent="0.25">
      <c r="A148" s="1106"/>
      <c r="B148" s="1106"/>
      <c r="C148" s="1106"/>
      <c r="D148" s="1106"/>
      <c r="E148" s="1106"/>
      <c r="F148" s="1106"/>
      <c r="G148" s="1106"/>
      <c r="H148" s="1106"/>
      <c r="I148" s="1106"/>
      <c r="J148" s="1106"/>
      <c r="K148" s="1106"/>
      <c r="L148" s="1106"/>
      <c r="M148" s="1106"/>
      <c r="N148" s="1106"/>
    </row>
    <row r="149" spans="1:14" x14ac:dyDescent="0.25">
      <c r="A149" s="1106"/>
      <c r="B149" s="1106"/>
      <c r="C149" s="1106"/>
      <c r="D149" s="1106"/>
      <c r="E149" s="1106"/>
      <c r="F149" s="1106"/>
      <c r="G149" s="1106"/>
      <c r="H149" s="1106"/>
      <c r="I149" s="1106"/>
      <c r="J149" s="1106"/>
      <c r="K149" s="1106"/>
      <c r="L149" s="1106"/>
      <c r="M149" s="1106"/>
      <c r="N149" s="1106"/>
    </row>
    <row r="150" spans="1:14" x14ac:dyDescent="0.25">
      <c r="A150" s="1106"/>
      <c r="B150" s="1106"/>
      <c r="C150" s="1106"/>
      <c r="D150" s="1106"/>
      <c r="E150" s="1106"/>
      <c r="F150" s="1106"/>
      <c r="G150" s="1106"/>
      <c r="H150" s="1106"/>
      <c r="I150" s="1106"/>
      <c r="J150" s="1106"/>
      <c r="K150" s="1106"/>
      <c r="L150" s="1106"/>
      <c r="M150" s="1106"/>
      <c r="N150" s="1106"/>
    </row>
    <row r="151" spans="1:14" x14ac:dyDescent="0.25">
      <c r="A151" s="1106"/>
      <c r="B151" s="1106"/>
      <c r="C151" s="1106"/>
      <c r="D151" s="1106"/>
      <c r="E151" s="1106"/>
      <c r="F151" s="1106"/>
      <c r="G151" s="1106"/>
      <c r="H151" s="1106"/>
      <c r="I151" s="1106"/>
      <c r="J151" s="1106"/>
      <c r="K151" s="1106"/>
      <c r="L151" s="1106"/>
      <c r="M151" s="1106"/>
      <c r="N151" s="1106"/>
    </row>
    <row r="152" spans="1:14" x14ac:dyDescent="0.25">
      <c r="A152" s="1106"/>
      <c r="B152" s="1106"/>
      <c r="C152" s="1106"/>
      <c r="D152" s="1106"/>
      <c r="E152" s="1106"/>
      <c r="F152" s="1106"/>
      <c r="G152" s="1106"/>
      <c r="H152" s="1106"/>
      <c r="I152" s="1106"/>
      <c r="J152" s="1106"/>
      <c r="K152" s="1106"/>
      <c r="L152" s="1106"/>
      <c r="M152" s="1106"/>
      <c r="N152" s="1106"/>
    </row>
    <row r="153" spans="1:14" x14ac:dyDescent="0.25">
      <c r="A153" s="1106"/>
      <c r="B153" s="1106"/>
      <c r="C153" s="1106"/>
      <c r="D153" s="1106"/>
      <c r="E153" s="1106"/>
      <c r="F153" s="1106"/>
      <c r="G153" s="1106"/>
      <c r="H153" s="1106"/>
      <c r="I153" s="1106"/>
      <c r="J153" s="1106"/>
      <c r="K153" s="1106"/>
      <c r="L153" s="1106"/>
      <c r="M153" s="1106"/>
      <c r="N153" s="1106"/>
    </row>
    <row r="154" spans="1:14" x14ac:dyDescent="0.25">
      <c r="A154" s="1106"/>
      <c r="B154" s="1106"/>
      <c r="C154" s="1106"/>
      <c r="D154" s="1106"/>
      <c r="E154" s="1106"/>
      <c r="F154" s="1106"/>
      <c r="G154" s="1106"/>
      <c r="H154" s="1106"/>
      <c r="I154" s="1106"/>
      <c r="J154" s="1106"/>
      <c r="K154" s="1106"/>
      <c r="L154" s="1106"/>
      <c r="M154" s="1106"/>
      <c r="N154" s="1106"/>
    </row>
    <row r="155" spans="1:14" x14ac:dyDescent="0.25">
      <c r="A155" s="1106"/>
      <c r="B155" s="1106"/>
      <c r="C155" s="1106"/>
      <c r="D155" s="1106"/>
      <c r="E155" s="1106"/>
      <c r="F155" s="1106"/>
      <c r="G155" s="1106"/>
      <c r="H155" s="1106"/>
      <c r="I155" s="1106"/>
      <c r="J155" s="1106"/>
      <c r="K155" s="1106"/>
      <c r="L155" s="1106"/>
      <c r="M155" s="1106"/>
      <c r="N155" s="1106"/>
    </row>
    <row r="156" spans="1:14" x14ac:dyDescent="0.25">
      <c r="A156" s="1106"/>
      <c r="B156" s="1106"/>
      <c r="C156" s="1106"/>
      <c r="D156" s="1106"/>
      <c r="E156" s="1106"/>
      <c r="F156" s="1106"/>
      <c r="G156" s="1106"/>
      <c r="H156" s="1106"/>
      <c r="I156" s="1106"/>
      <c r="J156" s="1106"/>
      <c r="K156" s="1106"/>
      <c r="L156" s="1106"/>
      <c r="M156" s="1106"/>
      <c r="N156" s="1106"/>
    </row>
    <row r="157" spans="1:14" x14ac:dyDescent="0.25">
      <c r="A157" s="1106"/>
      <c r="B157" s="1106"/>
      <c r="C157" s="1106"/>
      <c r="D157" s="1106"/>
      <c r="E157" s="1106"/>
      <c r="F157" s="1106"/>
      <c r="G157" s="1106"/>
      <c r="H157" s="1106"/>
      <c r="I157" s="1106"/>
      <c r="J157" s="1106"/>
      <c r="K157" s="1106"/>
      <c r="L157" s="1106"/>
      <c r="M157" s="1106"/>
      <c r="N157" s="1106"/>
    </row>
    <row r="158" spans="1:14" x14ac:dyDescent="0.25">
      <c r="A158" s="1106"/>
      <c r="B158" s="1106"/>
      <c r="C158" s="1106"/>
      <c r="D158" s="1106"/>
      <c r="E158" s="1106"/>
      <c r="F158" s="1106"/>
      <c r="G158" s="1106"/>
      <c r="H158" s="1106"/>
      <c r="I158" s="1106"/>
      <c r="J158" s="1106"/>
      <c r="K158" s="1106"/>
      <c r="L158" s="1106"/>
      <c r="M158" s="1106"/>
      <c r="N158" s="1106"/>
    </row>
    <row r="159" spans="1:14" x14ac:dyDescent="0.25">
      <c r="A159" s="1106"/>
      <c r="B159" s="1106"/>
      <c r="C159" s="1106"/>
      <c r="D159" s="1106"/>
      <c r="E159" s="1106"/>
      <c r="F159" s="1106"/>
      <c r="G159" s="1106"/>
      <c r="H159" s="1106"/>
      <c r="I159" s="1106"/>
      <c r="J159" s="1106"/>
      <c r="K159" s="1106"/>
      <c r="L159" s="1106"/>
      <c r="M159" s="1106"/>
      <c r="N159" s="1106"/>
    </row>
    <row r="160" spans="1:14" x14ac:dyDescent="0.25">
      <c r="A160" s="1106"/>
      <c r="B160" s="1106"/>
      <c r="C160" s="1106"/>
      <c r="D160" s="1106"/>
      <c r="E160" s="1106"/>
      <c r="F160" s="1106"/>
      <c r="G160" s="1106"/>
      <c r="H160" s="1106"/>
      <c r="I160" s="1106"/>
      <c r="J160" s="1106"/>
      <c r="K160" s="1106"/>
      <c r="L160" s="1106"/>
      <c r="M160" s="1106"/>
      <c r="N160" s="1106"/>
    </row>
    <row r="161" spans="1:14" x14ac:dyDescent="0.25">
      <c r="A161" s="1106"/>
      <c r="B161" s="1106"/>
      <c r="C161" s="1106"/>
      <c r="D161" s="1106"/>
      <c r="E161" s="1106"/>
      <c r="F161" s="1106"/>
      <c r="G161" s="1106"/>
      <c r="H161" s="1106"/>
      <c r="I161" s="1106"/>
      <c r="J161" s="1106"/>
      <c r="K161" s="1106"/>
      <c r="L161" s="1106"/>
      <c r="M161" s="1106"/>
      <c r="N161" s="1106"/>
    </row>
    <row r="162" spans="1:14" x14ac:dyDescent="0.25">
      <c r="A162" s="1106"/>
      <c r="B162" s="1106"/>
      <c r="C162" s="1106"/>
      <c r="D162" s="1106"/>
      <c r="E162" s="1106"/>
      <c r="F162" s="1106"/>
      <c r="G162" s="1106"/>
      <c r="H162" s="1106"/>
      <c r="I162" s="1106"/>
      <c r="J162" s="1106"/>
      <c r="K162" s="1106"/>
      <c r="L162" s="1106"/>
      <c r="M162" s="1106"/>
      <c r="N162" s="1106"/>
    </row>
    <row r="163" spans="1:14" x14ac:dyDescent="0.25">
      <c r="A163" s="1106"/>
      <c r="B163" s="1106"/>
      <c r="C163" s="1106"/>
      <c r="D163" s="1106"/>
      <c r="E163" s="1106"/>
      <c r="F163" s="1106"/>
      <c r="G163" s="1106"/>
      <c r="H163" s="1106"/>
      <c r="I163" s="1106"/>
      <c r="J163" s="1106"/>
      <c r="K163" s="1106"/>
      <c r="L163" s="1106"/>
      <c r="M163" s="1106"/>
      <c r="N163" s="1106"/>
    </row>
    <row r="164" spans="1:14" x14ac:dyDescent="0.25">
      <c r="A164" s="1106"/>
      <c r="B164" s="1106"/>
      <c r="C164" s="1106"/>
      <c r="D164" s="1106"/>
      <c r="E164" s="1106"/>
      <c r="F164" s="1106"/>
      <c r="G164" s="1106"/>
      <c r="H164" s="1106"/>
      <c r="I164" s="1106"/>
      <c r="J164" s="1106"/>
      <c r="K164" s="1106"/>
      <c r="L164" s="1106"/>
      <c r="M164" s="1106"/>
      <c r="N164" s="1106"/>
    </row>
    <row r="165" spans="1:14" x14ac:dyDescent="0.25">
      <c r="A165" s="1106"/>
      <c r="B165" s="1106"/>
      <c r="C165" s="1106"/>
      <c r="D165" s="1106"/>
      <c r="E165" s="1106"/>
      <c r="F165" s="1106"/>
      <c r="G165" s="1106"/>
      <c r="H165" s="1106"/>
      <c r="I165" s="1106"/>
      <c r="J165" s="1106"/>
      <c r="K165" s="1106"/>
      <c r="L165" s="1106"/>
      <c r="M165" s="1106"/>
      <c r="N165" s="1106"/>
    </row>
    <row r="166" spans="1:14" x14ac:dyDescent="0.25">
      <c r="A166" s="1106"/>
      <c r="B166" s="1106"/>
      <c r="C166" s="1106"/>
      <c r="D166" s="1106"/>
      <c r="E166" s="1106"/>
      <c r="F166" s="1106"/>
      <c r="G166" s="1106"/>
      <c r="H166" s="1106"/>
      <c r="I166" s="1106"/>
      <c r="J166" s="1106"/>
      <c r="K166" s="1106"/>
      <c r="L166" s="1106"/>
      <c r="M166" s="1106"/>
      <c r="N166" s="1106"/>
    </row>
    <row r="167" spans="1:14" x14ac:dyDescent="0.25">
      <c r="A167" s="1106"/>
      <c r="B167" s="1106"/>
      <c r="C167" s="1106"/>
      <c r="D167" s="1106"/>
      <c r="E167" s="1106"/>
      <c r="F167" s="1106"/>
      <c r="G167" s="1106"/>
      <c r="H167" s="1106"/>
      <c r="I167" s="1106"/>
      <c r="J167" s="1106"/>
      <c r="K167" s="1106"/>
      <c r="L167" s="1106"/>
      <c r="M167" s="1106"/>
      <c r="N167" s="1106"/>
    </row>
    <row r="168" spans="1:14" x14ac:dyDescent="0.25">
      <c r="A168" s="1106"/>
      <c r="B168" s="1106"/>
      <c r="C168" s="1106"/>
      <c r="D168" s="1106"/>
      <c r="E168" s="1106"/>
      <c r="F168" s="1106"/>
      <c r="G168" s="1106"/>
      <c r="H168" s="1106"/>
      <c r="I168" s="1106"/>
      <c r="J168" s="1106"/>
      <c r="K168" s="1106"/>
      <c r="L168" s="1106"/>
      <c r="M168" s="1106"/>
      <c r="N168" s="1106"/>
    </row>
    <row r="169" spans="1:14" x14ac:dyDescent="0.25">
      <c r="A169" s="1106"/>
      <c r="B169" s="1106"/>
      <c r="C169" s="1106"/>
      <c r="D169" s="1106"/>
      <c r="E169" s="1106"/>
      <c r="F169" s="1106"/>
      <c r="G169" s="1106"/>
      <c r="H169" s="1106"/>
      <c r="I169" s="1106"/>
      <c r="J169" s="1106"/>
      <c r="K169" s="1106"/>
      <c r="L169" s="1106"/>
      <c r="M169" s="1106"/>
      <c r="N169" s="1106"/>
    </row>
    <row r="170" spans="1:14" x14ac:dyDescent="0.25">
      <c r="A170" s="1106"/>
      <c r="B170" s="1106"/>
      <c r="C170" s="1106"/>
      <c r="D170" s="1106"/>
      <c r="E170" s="1106"/>
      <c r="F170" s="1106"/>
      <c r="G170" s="1106"/>
      <c r="H170" s="1106"/>
      <c r="I170" s="1106"/>
      <c r="J170" s="1106"/>
      <c r="K170" s="1106"/>
      <c r="L170" s="1106"/>
      <c r="M170" s="1106"/>
      <c r="N170" s="1106"/>
    </row>
    <row r="171" spans="1:14" x14ac:dyDescent="0.25">
      <c r="A171" s="1106"/>
      <c r="B171" s="1106"/>
      <c r="C171" s="1106"/>
      <c r="D171" s="1106"/>
      <c r="E171" s="1106"/>
      <c r="F171" s="1106"/>
      <c r="G171" s="1106"/>
      <c r="H171" s="1106"/>
      <c r="I171" s="1106"/>
      <c r="J171" s="1106"/>
      <c r="K171" s="1106"/>
      <c r="L171" s="1106"/>
      <c r="M171" s="1106"/>
      <c r="N171" s="1106"/>
    </row>
    <row r="172" spans="1:14" x14ac:dyDescent="0.25">
      <c r="A172" s="1106"/>
      <c r="B172" s="1106"/>
      <c r="C172" s="1106"/>
      <c r="D172" s="1106"/>
      <c r="E172" s="1106"/>
      <c r="F172" s="1106"/>
      <c r="G172" s="1106"/>
      <c r="H172" s="1106"/>
      <c r="I172" s="1106"/>
      <c r="J172" s="1106"/>
      <c r="K172" s="1106"/>
      <c r="L172" s="1106"/>
      <c r="M172" s="1106"/>
      <c r="N172" s="1106"/>
    </row>
    <row r="173" spans="1:14" x14ac:dyDescent="0.25">
      <c r="A173" s="1106"/>
      <c r="B173" s="1106"/>
      <c r="C173" s="1106"/>
      <c r="D173" s="1106"/>
      <c r="E173" s="1106"/>
      <c r="F173" s="1106"/>
      <c r="G173" s="1106"/>
      <c r="H173" s="1106"/>
      <c r="I173" s="1106"/>
      <c r="J173" s="1106"/>
      <c r="K173" s="1106"/>
      <c r="L173" s="1106"/>
      <c r="M173" s="1106"/>
      <c r="N173" s="1106"/>
    </row>
    <row r="174" spans="1:14" x14ac:dyDescent="0.25">
      <c r="A174" s="1106"/>
      <c r="B174" s="1106"/>
      <c r="C174" s="1106"/>
      <c r="D174" s="1106"/>
      <c r="E174" s="1106"/>
      <c r="F174" s="1106"/>
      <c r="G174" s="1106"/>
      <c r="H174" s="1106"/>
      <c r="I174" s="1106"/>
      <c r="J174" s="1106"/>
      <c r="K174" s="1106"/>
      <c r="L174" s="1106"/>
      <c r="M174" s="1106"/>
      <c r="N174" s="1106"/>
    </row>
    <row r="175" spans="1:14" x14ac:dyDescent="0.25">
      <c r="A175" s="1106"/>
      <c r="B175" s="1106"/>
      <c r="C175" s="1106"/>
      <c r="D175" s="1106"/>
      <c r="E175" s="1106"/>
      <c r="F175" s="1106"/>
      <c r="G175" s="1106"/>
      <c r="H175" s="1106"/>
      <c r="I175" s="1106"/>
      <c r="J175" s="1106"/>
      <c r="K175" s="1106"/>
      <c r="L175" s="1106"/>
      <c r="M175" s="1106"/>
      <c r="N175" s="1106"/>
    </row>
    <row r="176" spans="1:14" x14ac:dyDescent="0.25">
      <c r="A176" s="1106"/>
      <c r="B176" s="1106"/>
      <c r="C176" s="1106"/>
      <c r="D176" s="1106"/>
      <c r="E176" s="1106"/>
      <c r="F176" s="1106"/>
      <c r="G176" s="1106"/>
      <c r="H176" s="1106"/>
      <c r="I176" s="1106"/>
      <c r="J176" s="1106"/>
      <c r="K176" s="1106"/>
      <c r="L176" s="1106"/>
      <c r="M176" s="1106"/>
      <c r="N176" s="1106"/>
    </row>
    <row r="177" spans="1:14" x14ac:dyDescent="0.25">
      <c r="A177" s="1106"/>
      <c r="B177" s="1106"/>
      <c r="C177" s="1106"/>
      <c r="D177" s="1106"/>
      <c r="E177" s="1106"/>
      <c r="F177" s="1106"/>
      <c r="G177" s="1106"/>
      <c r="H177" s="1106"/>
      <c r="I177" s="1106"/>
      <c r="J177" s="1106"/>
      <c r="K177" s="1106"/>
      <c r="L177" s="1106"/>
      <c r="M177" s="1106"/>
      <c r="N177" s="1106"/>
    </row>
    <row r="178" spans="1:14" x14ac:dyDescent="0.25">
      <c r="A178" s="1106"/>
      <c r="B178" s="1106"/>
      <c r="C178" s="1106"/>
      <c r="D178" s="1106"/>
      <c r="E178" s="1106"/>
      <c r="F178" s="1106"/>
      <c r="G178" s="1106"/>
      <c r="H178" s="1106"/>
      <c r="I178" s="1106"/>
      <c r="J178" s="1106"/>
      <c r="K178" s="1106"/>
      <c r="L178" s="1106"/>
      <c r="M178" s="1106"/>
      <c r="N178" s="1106"/>
    </row>
    <row r="179" spans="1:14" x14ac:dyDescent="0.25">
      <c r="A179" s="1106"/>
      <c r="B179" s="1106"/>
      <c r="C179" s="1106"/>
      <c r="D179" s="1106"/>
      <c r="E179" s="1106"/>
      <c r="F179" s="1106"/>
      <c r="G179" s="1106"/>
      <c r="H179" s="1106"/>
      <c r="I179" s="1106"/>
      <c r="J179" s="1106"/>
      <c r="K179" s="1106"/>
      <c r="L179" s="1106"/>
      <c r="M179" s="1106"/>
      <c r="N179" s="1106"/>
    </row>
    <row r="180" spans="1:14" x14ac:dyDescent="0.25">
      <c r="A180" s="1106"/>
      <c r="B180" s="1106"/>
      <c r="C180" s="1106"/>
      <c r="D180" s="1106"/>
      <c r="E180" s="1106"/>
      <c r="F180" s="1106"/>
      <c r="G180" s="1106"/>
      <c r="H180" s="1106"/>
      <c r="I180" s="1106"/>
      <c r="J180" s="1106"/>
      <c r="K180" s="1106"/>
      <c r="L180" s="1106"/>
      <c r="M180" s="1106"/>
      <c r="N180" s="1106"/>
    </row>
    <row r="181" spans="1:14" x14ac:dyDescent="0.25">
      <c r="A181" s="1106"/>
      <c r="B181" s="1106"/>
      <c r="C181" s="1106"/>
      <c r="D181" s="1106"/>
      <c r="E181" s="1106"/>
      <c r="F181" s="1106"/>
      <c r="G181" s="1106"/>
      <c r="H181" s="1106"/>
      <c r="I181" s="1106"/>
      <c r="J181" s="1106"/>
      <c r="K181" s="1106"/>
      <c r="L181" s="1106"/>
      <c r="M181" s="1106"/>
      <c r="N181" s="1106"/>
    </row>
    <row r="182" spans="1:14" x14ac:dyDescent="0.25">
      <c r="A182" s="1106"/>
      <c r="B182" s="1106"/>
      <c r="C182" s="1106"/>
      <c r="D182" s="1106"/>
      <c r="E182" s="1106"/>
      <c r="F182" s="1106"/>
      <c r="G182" s="1106"/>
      <c r="H182" s="1106"/>
      <c r="I182" s="1106"/>
      <c r="J182" s="1106"/>
      <c r="K182" s="1106"/>
      <c r="L182" s="1106"/>
      <c r="M182" s="1106"/>
      <c r="N182" s="1106"/>
    </row>
    <row r="183" spans="1:14" x14ac:dyDescent="0.25">
      <c r="A183" s="1106"/>
      <c r="B183" s="1106"/>
      <c r="C183" s="1106"/>
      <c r="D183" s="1106"/>
      <c r="E183" s="1106"/>
      <c r="F183" s="1106"/>
      <c r="G183" s="1106"/>
      <c r="H183" s="1106"/>
      <c r="I183" s="1106"/>
      <c r="J183" s="1106"/>
      <c r="K183" s="1106"/>
      <c r="L183" s="1106"/>
      <c r="M183" s="1106"/>
      <c r="N183" s="1106"/>
    </row>
    <row r="184" spans="1:14" x14ac:dyDescent="0.25">
      <c r="A184" s="1106"/>
      <c r="B184" s="1106"/>
      <c r="C184" s="1106"/>
      <c r="D184" s="1106"/>
      <c r="E184" s="1106"/>
      <c r="F184" s="1106"/>
      <c r="G184" s="1106"/>
      <c r="H184" s="1106"/>
      <c r="I184" s="1106"/>
      <c r="J184" s="1106"/>
      <c r="K184" s="1106"/>
      <c r="L184" s="1106"/>
      <c r="M184" s="1106"/>
      <c r="N184" s="1106"/>
    </row>
    <row r="185" spans="1:14" x14ac:dyDescent="0.25">
      <c r="A185" s="1106"/>
      <c r="B185" s="1106"/>
      <c r="C185" s="1106"/>
      <c r="D185" s="1106"/>
      <c r="E185" s="1106"/>
      <c r="F185" s="1106"/>
      <c r="G185" s="1106"/>
      <c r="H185" s="1106"/>
      <c r="I185" s="1106"/>
      <c r="J185" s="1106"/>
      <c r="K185" s="1106"/>
      <c r="L185" s="1106"/>
      <c r="M185" s="1106"/>
      <c r="N185" s="1106"/>
    </row>
    <row r="186" spans="1:14" x14ac:dyDescent="0.25">
      <c r="A186" s="1106"/>
      <c r="B186" s="1106"/>
      <c r="C186" s="1106"/>
      <c r="D186" s="1106"/>
      <c r="E186" s="1106"/>
      <c r="F186" s="1106"/>
      <c r="G186" s="1106"/>
      <c r="H186" s="1106"/>
      <c r="I186" s="1106"/>
      <c r="J186" s="1106"/>
      <c r="K186" s="1106"/>
      <c r="L186" s="1106"/>
      <c r="M186" s="1106"/>
      <c r="N186" s="1106"/>
    </row>
    <row r="187" spans="1:14" x14ac:dyDescent="0.25">
      <c r="A187" s="1106"/>
      <c r="B187" s="1106"/>
      <c r="C187" s="1106"/>
      <c r="D187" s="1106"/>
      <c r="E187" s="1106"/>
      <c r="F187" s="1106"/>
      <c r="G187" s="1106"/>
      <c r="H187" s="1106"/>
      <c r="I187" s="1106"/>
      <c r="J187" s="1106"/>
      <c r="K187" s="1106"/>
      <c r="L187" s="1106"/>
      <c r="M187" s="1106"/>
      <c r="N187" s="1106"/>
    </row>
    <row r="188" spans="1:14" x14ac:dyDescent="0.25">
      <c r="A188" s="1106"/>
      <c r="B188" s="1106"/>
      <c r="C188" s="1106"/>
      <c r="D188" s="1106"/>
      <c r="E188" s="1106"/>
      <c r="F188" s="1106"/>
      <c r="G188" s="1106"/>
      <c r="H188" s="1106"/>
      <c r="I188" s="1106"/>
      <c r="J188" s="1106"/>
      <c r="K188" s="1106"/>
      <c r="L188" s="1106"/>
      <c r="M188" s="1106"/>
      <c r="N188" s="1106"/>
    </row>
    <row r="189" spans="1:14" x14ac:dyDescent="0.25">
      <c r="A189" s="1106"/>
      <c r="B189" s="1106"/>
      <c r="C189" s="1106"/>
      <c r="D189" s="1106"/>
      <c r="E189" s="1106"/>
      <c r="F189" s="1106"/>
      <c r="G189" s="1106"/>
      <c r="H189" s="1106"/>
      <c r="I189" s="1106"/>
      <c r="J189" s="1106"/>
      <c r="K189" s="1106"/>
      <c r="L189" s="1106"/>
      <c r="M189" s="1106"/>
      <c r="N189" s="1106"/>
    </row>
    <row r="190" spans="1:14" x14ac:dyDescent="0.25">
      <c r="A190" s="1106"/>
      <c r="B190" s="1106"/>
      <c r="C190" s="1106"/>
      <c r="D190" s="1106"/>
      <c r="E190" s="1106"/>
      <c r="F190" s="1106"/>
      <c r="G190" s="1106"/>
      <c r="H190" s="1106"/>
      <c r="I190" s="1106"/>
      <c r="J190" s="1106"/>
      <c r="K190" s="1106"/>
      <c r="L190" s="1106"/>
      <c r="M190" s="1106"/>
      <c r="N190" s="1106"/>
    </row>
    <row r="191" spans="1:14" x14ac:dyDescent="0.25">
      <c r="A191" s="1106"/>
      <c r="B191" s="1106"/>
      <c r="C191" s="1106"/>
      <c r="D191" s="1106"/>
      <c r="E191" s="1106"/>
      <c r="F191" s="1106"/>
      <c r="G191" s="1106"/>
      <c r="H191" s="1106"/>
      <c r="I191" s="1106"/>
      <c r="J191" s="1106"/>
      <c r="K191" s="1106"/>
      <c r="L191" s="1106"/>
      <c r="M191" s="1106"/>
      <c r="N191" s="1106"/>
    </row>
    <row r="192" spans="1:14" x14ac:dyDescent="0.25">
      <c r="A192" s="1106"/>
      <c r="B192" s="1106"/>
      <c r="C192" s="1106"/>
      <c r="D192" s="1106"/>
      <c r="E192" s="1106"/>
      <c r="F192" s="1106"/>
      <c r="G192" s="1106"/>
      <c r="H192" s="1106"/>
      <c r="I192" s="1106"/>
      <c r="J192" s="1106"/>
      <c r="K192" s="1106"/>
      <c r="L192" s="1106"/>
      <c r="M192" s="1106"/>
      <c r="N192" s="1106"/>
    </row>
    <row r="193" spans="1:14" x14ac:dyDescent="0.25">
      <c r="A193" s="1106"/>
      <c r="B193" s="1106"/>
      <c r="C193" s="1106"/>
      <c r="D193" s="1106"/>
      <c r="E193" s="1106"/>
      <c r="F193" s="1106"/>
      <c r="G193" s="1106"/>
      <c r="H193" s="1106"/>
      <c r="I193" s="1106"/>
      <c r="J193" s="1106"/>
      <c r="K193" s="1106"/>
      <c r="L193" s="1106"/>
      <c r="M193" s="1106"/>
      <c r="N193" s="1106"/>
    </row>
    <row r="194" spans="1:14" x14ac:dyDescent="0.25">
      <c r="A194" s="1106"/>
      <c r="B194" s="1106"/>
      <c r="C194" s="1106"/>
      <c r="D194" s="1106"/>
      <c r="E194" s="1106"/>
      <c r="F194" s="1106"/>
      <c r="G194" s="1106"/>
      <c r="H194" s="1106"/>
      <c r="I194" s="1106"/>
      <c r="J194" s="1106"/>
      <c r="K194" s="1106"/>
      <c r="L194" s="1106"/>
      <c r="M194" s="1106"/>
      <c r="N194" s="1106"/>
    </row>
    <row r="195" spans="1:14" x14ac:dyDescent="0.25">
      <c r="A195" s="1106"/>
      <c r="B195" s="1106"/>
      <c r="C195" s="1106"/>
      <c r="D195" s="1106"/>
      <c r="E195" s="1106"/>
      <c r="F195" s="1106"/>
      <c r="G195" s="1106"/>
      <c r="H195" s="1106"/>
      <c r="I195" s="1106"/>
      <c r="J195" s="1106"/>
      <c r="K195" s="1106"/>
      <c r="L195" s="1106"/>
      <c r="M195" s="1106"/>
      <c r="N195" s="1106"/>
    </row>
    <row r="196" spans="1:14" x14ac:dyDescent="0.25">
      <c r="A196" s="1106"/>
      <c r="B196" s="1106"/>
      <c r="C196" s="1106"/>
      <c r="D196" s="1106"/>
      <c r="E196" s="1106"/>
      <c r="F196" s="1106"/>
      <c r="G196" s="1106"/>
      <c r="H196" s="1106"/>
      <c r="I196" s="1106"/>
      <c r="J196" s="1106"/>
      <c r="K196" s="1106"/>
      <c r="L196" s="1106"/>
      <c r="M196" s="1106"/>
      <c r="N196" s="1106"/>
    </row>
    <row r="197" spans="1:14" x14ac:dyDescent="0.25">
      <c r="A197" s="1106"/>
      <c r="B197" s="1106"/>
      <c r="C197" s="1106"/>
      <c r="D197" s="1106"/>
      <c r="E197" s="1106"/>
      <c r="F197" s="1106"/>
      <c r="G197" s="1106"/>
      <c r="H197" s="1106"/>
      <c r="I197" s="1106"/>
      <c r="J197" s="1106"/>
      <c r="K197" s="1106"/>
      <c r="L197" s="1106"/>
      <c r="M197" s="1106"/>
      <c r="N197" s="1106"/>
    </row>
    <row r="198" spans="1:14" x14ac:dyDescent="0.25">
      <c r="A198" s="1106"/>
      <c r="B198" s="1106"/>
      <c r="C198" s="1106"/>
      <c r="D198" s="1106"/>
      <c r="E198" s="1106"/>
      <c r="F198" s="1106"/>
      <c r="G198" s="1106"/>
      <c r="H198" s="1106"/>
      <c r="I198" s="1106"/>
      <c r="J198" s="1106"/>
      <c r="K198" s="1106"/>
      <c r="L198" s="1106"/>
      <c r="M198" s="1106"/>
      <c r="N198" s="1106"/>
    </row>
    <row r="199" spans="1:14" x14ac:dyDescent="0.25">
      <c r="A199" s="1106"/>
      <c r="B199" s="1106"/>
      <c r="C199" s="1106"/>
      <c r="D199" s="1106"/>
      <c r="E199" s="1106"/>
      <c r="F199" s="1106"/>
      <c r="G199" s="1106"/>
      <c r="H199" s="1106"/>
      <c r="I199" s="1106"/>
      <c r="J199" s="1106"/>
      <c r="K199" s="1106"/>
      <c r="L199" s="1106"/>
      <c r="M199" s="1106"/>
      <c r="N199" s="1106"/>
    </row>
    <row r="200" spans="1:14" x14ac:dyDescent="0.25">
      <c r="A200" s="1106"/>
      <c r="B200" s="1106"/>
      <c r="C200" s="1106"/>
      <c r="D200" s="1106"/>
      <c r="E200" s="1106"/>
      <c r="F200" s="1106"/>
      <c r="G200" s="1106"/>
      <c r="H200" s="1106"/>
      <c r="I200" s="1106"/>
      <c r="J200" s="1106"/>
      <c r="K200" s="1106"/>
      <c r="L200" s="1106"/>
      <c r="M200" s="1106"/>
      <c r="N200" s="1106"/>
    </row>
    <row r="201" spans="1:14" x14ac:dyDescent="0.25">
      <c r="A201" s="1106"/>
      <c r="B201" s="1106"/>
      <c r="C201" s="1106"/>
      <c r="D201" s="1106"/>
      <c r="E201" s="1106"/>
      <c r="F201" s="1106"/>
      <c r="G201" s="1106"/>
      <c r="H201" s="1106"/>
      <c r="I201" s="1106"/>
      <c r="J201" s="1106"/>
      <c r="K201" s="1106"/>
      <c r="L201" s="1106"/>
      <c r="M201" s="1106"/>
      <c r="N201" s="1106"/>
    </row>
    <row r="202" spans="1:14" x14ac:dyDescent="0.25">
      <c r="A202" s="1106"/>
      <c r="B202" s="1106"/>
      <c r="C202" s="1106"/>
      <c r="D202" s="1106"/>
      <c r="E202" s="1106"/>
      <c r="F202" s="1106"/>
      <c r="G202" s="1106"/>
      <c r="H202" s="1106"/>
      <c r="I202" s="1106"/>
      <c r="J202" s="1106"/>
      <c r="K202" s="1106"/>
      <c r="L202" s="1106"/>
      <c r="M202" s="1106"/>
      <c r="N202" s="1106"/>
    </row>
    <row r="203" spans="1:14" x14ac:dyDescent="0.25">
      <c r="A203" s="1106"/>
      <c r="B203" s="1106"/>
      <c r="C203" s="1106"/>
      <c r="D203" s="1106"/>
      <c r="E203" s="1106"/>
      <c r="F203" s="1106"/>
      <c r="G203" s="1106"/>
      <c r="H203" s="1106"/>
      <c r="I203" s="1106"/>
      <c r="J203" s="1106"/>
      <c r="K203" s="1106"/>
      <c r="L203" s="1106"/>
      <c r="M203" s="1106"/>
      <c r="N203" s="1106"/>
    </row>
    <row r="204" spans="1:14" x14ac:dyDescent="0.25">
      <c r="A204" s="1106"/>
      <c r="B204" s="1106"/>
      <c r="C204" s="1106"/>
      <c r="D204" s="1106"/>
      <c r="E204" s="1106"/>
      <c r="F204" s="1106"/>
      <c r="G204" s="1106"/>
      <c r="H204" s="1106"/>
      <c r="I204" s="1106"/>
      <c r="J204" s="1107"/>
      <c r="K204" s="1107"/>
      <c r="L204" s="1107"/>
      <c r="M204" s="1107"/>
      <c r="N204" s="1107"/>
    </row>
    <row r="205" spans="1:14" x14ac:dyDescent="0.25">
      <c r="A205" s="1106"/>
      <c r="B205" s="1106"/>
      <c r="C205" s="1106"/>
      <c r="D205" s="1106"/>
      <c r="E205" s="1106"/>
      <c r="F205" s="1106"/>
      <c r="G205" s="1106"/>
      <c r="H205" s="1106"/>
      <c r="I205" s="1106"/>
    </row>
    <row r="206" spans="1:14" x14ac:dyDescent="0.25">
      <c r="A206" s="1106"/>
      <c r="B206" s="1106"/>
      <c r="C206" s="1106"/>
      <c r="D206" s="1106"/>
      <c r="E206" s="1106"/>
      <c r="F206" s="1106"/>
      <c r="G206" s="1106"/>
      <c r="H206" s="1106"/>
      <c r="I206" s="1106"/>
    </row>
    <row r="207" spans="1:14" x14ac:dyDescent="0.25">
      <c r="A207" s="1106"/>
      <c r="B207" s="1106"/>
      <c r="C207" s="1106"/>
      <c r="D207" s="1106"/>
      <c r="E207" s="1106"/>
      <c r="F207" s="1106"/>
      <c r="G207" s="1106"/>
      <c r="H207" s="1106"/>
      <c r="I207" s="1106"/>
    </row>
    <row r="208" spans="1:14" x14ac:dyDescent="0.25">
      <c r="A208" s="1106"/>
      <c r="B208" s="1106"/>
      <c r="C208" s="1106"/>
      <c r="D208" s="1106"/>
      <c r="E208" s="1106"/>
      <c r="F208" s="1106"/>
      <c r="G208" s="1106"/>
      <c r="H208" s="1106"/>
      <c r="I208" s="1106"/>
    </row>
    <row r="209" spans="1:9" x14ac:dyDescent="0.25">
      <c r="A209" s="1106"/>
      <c r="B209" s="1106"/>
      <c r="C209" s="1106"/>
      <c r="D209" s="1106"/>
      <c r="E209" s="1106"/>
      <c r="F209" s="1106"/>
      <c r="G209" s="1106"/>
      <c r="H209" s="1106"/>
      <c r="I209" s="1106"/>
    </row>
    <row r="210" spans="1:9" x14ac:dyDescent="0.25">
      <c r="A210" s="1106"/>
      <c r="B210" s="1106"/>
      <c r="C210" s="1106"/>
      <c r="D210" s="1106"/>
      <c r="E210" s="1106"/>
      <c r="F210" s="1106"/>
      <c r="G210" s="1106"/>
      <c r="H210" s="1106"/>
      <c r="I210" s="1106"/>
    </row>
    <row r="211" spans="1:9" x14ac:dyDescent="0.25">
      <c r="A211" s="1106"/>
      <c r="B211" s="1106"/>
      <c r="C211" s="1106"/>
      <c r="D211" s="1106"/>
      <c r="E211" s="1106"/>
      <c r="F211" s="1106"/>
      <c r="G211" s="1106"/>
      <c r="H211" s="1106"/>
      <c r="I211" s="1106"/>
    </row>
    <row r="212" spans="1:9" x14ac:dyDescent="0.25">
      <c r="A212" s="1106"/>
      <c r="B212" s="1106"/>
      <c r="C212" s="1106"/>
      <c r="D212" s="1106"/>
      <c r="E212" s="1106"/>
      <c r="F212" s="1106"/>
      <c r="G212" s="1106"/>
      <c r="H212" s="1106"/>
      <c r="I212" s="1106"/>
    </row>
    <row r="213" spans="1:9" x14ac:dyDescent="0.25">
      <c r="A213" s="1106"/>
      <c r="B213" s="1106"/>
      <c r="C213" s="1106"/>
      <c r="D213" s="1106"/>
      <c r="E213" s="1106"/>
      <c r="F213" s="1106"/>
      <c r="G213" s="1106"/>
      <c r="H213" s="1106"/>
      <c r="I213" s="1106"/>
    </row>
    <row r="214" spans="1:9" x14ac:dyDescent="0.25">
      <c r="A214" s="1106"/>
      <c r="B214" s="1106"/>
      <c r="C214" s="1106"/>
      <c r="D214" s="1106"/>
      <c r="E214" s="1106"/>
      <c r="F214" s="1106"/>
      <c r="G214" s="1106"/>
      <c r="H214" s="1106"/>
      <c r="I214" s="1106"/>
    </row>
    <row r="215" spans="1:9" x14ac:dyDescent="0.25">
      <c r="A215" s="1106"/>
      <c r="B215" s="1106"/>
      <c r="C215" s="1106"/>
      <c r="D215" s="1106"/>
      <c r="E215" s="1106"/>
      <c r="F215" s="1106"/>
      <c r="G215" s="1106"/>
      <c r="H215" s="1106"/>
      <c r="I215" s="1106"/>
    </row>
    <row r="216" spans="1:9" x14ac:dyDescent="0.25">
      <c r="A216" s="1106"/>
      <c r="B216" s="1106"/>
      <c r="C216" s="1106"/>
      <c r="D216" s="1106"/>
      <c r="E216" s="1106"/>
      <c r="F216" s="1106"/>
      <c r="G216" s="1106"/>
      <c r="H216" s="1106"/>
      <c r="I216" s="1106"/>
    </row>
    <row r="217" spans="1:9" x14ac:dyDescent="0.25">
      <c r="A217" s="1106"/>
      <c r="B217" s="1106"/>
      <c r="C217" s="1106"/>
      <c r="D217" s="1106"/>
      <c r="E217" s="1106"/>
      <c r="F217" s="1106"/>
      <c r="G217" s="1106"/>
      <c r="H217" s="1106"/>
      <c r="I217" s="1106"/>
    </row>
    <row r="218" spans="1:9" x14ac:dyDescent="0.25">
      <c r="A218" s="1106"/>
      <c r="B218" s="1106"/>
      <c r="C218" s="1106"/>
      <c r="D218" s="1106"/>
      <c r="E218" s="1106"/>
      <c r="F218" s="1106"/>
      <c r="G218" s="1106"/>
      <c r="H218" s="1106"/>
      <c r="I218" s="1106"/>
    </row>
    <row r="219" spans="1:9" x14ac:dyDescent="0.25">
      <c r="A219" s="1106"/>
      <c r="B219" s="1106"/>
      <c r="C219" s="1106"/>
      <c r="D219" s="1106"/>
      <c r="E219" s="1106"/>
      <c r="F219" s="1106"/>
      <c r="G219" s="1106"/>
      <c r="H219" s="1106"/>
      <c r="I219" s="1106"/>
    </row>
    <row r="220" spans="1:9" x14ac:dyDescent="0.25">
      <c r="A220" s="1106"/>
      <c r="B220" s="1106"/>
      <c r="C220" s="1106"/>
      <c r="D220" s="1106"/>
      <c r="E220" s="1106"/>
      <c r="F220" s="1106"/>
      <c r="G220" s="1106"/>
      <c r="H220" s="1106"/>
      <c r="I220" s="1106"/>
    </row>
    <row r="221" spans="1:9" x14ac:dyDescent="0.25">
      <c r="A221" s="1106"/>
      <c r="B221" s="1106"/>
      <c r="C221" s="1106"/>
      <c r="D221" s="1106"/>
      <c r="E221" s="1106"/>
      <c r="F221" s="1106"/>
      <c r="G221" s="1106"/>
      <c r="H221" s="1106"/>
      <c r="I221" s="1106"/>
    </row>
    <row r="222" spans="1:9" x14ac:dyDescent="0.25">
      <c r="A222" s="1106"/>
      <c r="B222" s="1106"/>
      <c r="C222" s="1106"/>
      <c r="D222" s="1106"/>
      <c r="E222" s="1106"/>
      <c r="F222" s="1106"/>
      <c r="G222" s="1106"/>
      <c r="H222" s="1106"/>
      <c r="I222" s="1106"/>
    </row>
    <row r="223" spans="1:9" x14ac:dyDescent="0.25">
      <c r="A223" s="1106"/>
      <c r="B223" s="1106"/>
      <c r="C223" s="1106"/>
      <c r="D223" s="1106"/>
      <c r="E223" s="1106"/>
      <c r="F223" s="1106"/>
      <c r="G223" s="1106"/>
      <c r="H223" s="1106"/>
      <c r="I223" s="1106"/>
    </row>
    <row r="224" spans="1:9" x14ac:dyDescent="0.25">
      <c r="A224" s="1106"/>
      <c r="B224" s="1106"/>
      <c r="C224" s="1106"/>
      <c r="D224" s="1106"/>
      <c r="E224" s="1106"/>
      <c r="F224" s="1106"/>
      <c r="G224" s="1106"/>
      <c r="H224" s="1106"/>
      <c r="I224" s="1106"/>
    </row>
    <row r="225" spans="1:9" x14ac:dyDescent="0.25">
      <c r="A225" s="1106"/>
      <c r="B225" s="1106"/>
      <c r="C225" s="1106"/>
      <c r="D225" s="1106"/>
      <c r="E225" s="1106"/>
      <c r="F225" s="1106"/>
      <c r="G225" s="1106"/>
      <c r="H225" s="1106"/>
      <c r="I225" s="1106"/>
    </row>
    <row r="226" spans="1:9" x14ac:dyDescent="0.25">
      <c r="A226" s="1106"/>
      <c r="B226" s="1106"/>
      <c r="C226" s="1106"/>
      <c r="D226" s="1106"/>
      <c r="E226" s="1106"/>
      <c r="F226" s="1106"/>
      <c r="G226" s="1106"/>
      <c r="H226" s="1106"/>
      <c r="I226" s="1106"/>
    </row>
    <row r="227" spans="1:9" x14ac:dyDescent="0.25">
      <c r="A227" s="1106"/>
      <c r="B227" s="1106"/>
      <c r="C227" s="1106"/>
      <c r="D227" s="1106"/>
      <c r="E227" s="1106"/>
      <c r="F227" s="1106"/>
      <c r="G227" s="1106"/>
      <c r="H227" s="1106"/>
      <c r="I227" s="1106"/>
    </row>
    <row r="228" spans="1:9" x14ac:dyDescent="0.25">
      <c r="A228" s="1106"/>
      <c r="B228" s="1106"/>
      <c r="C228" s="1106"/>
      <c r="D228" s="1106"/>
      <c r="E228" s="1106"/>
      <c r="F228" s="1106"/>
      <c r="G228" s="1106"/>
      <c r="H228" s="1106"/>
      <c r="I228" s="1106"/>
    </row>
    <row r="229" spans="1:9" x14ac:dyDescent="0.25">
      <c r="A229" s="1106"/>
      <c r="B229" s="1106"/>
      <c r="C229" s="1106"/>
      <c r="D229" s="1106"/>
      <c r="E229" s="1106"/>
      <c r="F229" s="1106"/>
      <c r="G229" s="1106"/>
      <c r="H229" s="1106"/>
      <c r="I229" s="1106"/>
    </row>
    <row r="230" spans="1:9" x14ac:dyDescent="0.25">
      <c r="A230" s="1106"/>
      <c r="B230" s="1106"/>
      <c r="C230" s="1106"/>
      <c r="D230" s="1106"/>
      <c r="E230" s="1106"/>
      <c r="F230" s="1106"/>
      <c r="G230" s="1106"/>
      <c r="H230" s="1106"/>
      <c r="I230" s="1106"/>
    </row>
    <row r="231" spans="1:9" x14ac:dyDescent="0.25">
      <c r="A231" s="1106"/>
      <c r="B231" s="1106"/>
      <c r="C231" s="1106"/>
      <c r="D231" s="1106"/>
      <c r="E231" s="1106"/>
      <c r="F231" s="1106"/>
      <c r="G231" s="1106"/>
      <c r="H231" s="1106"/>
      <c r="I231" s="1106"/>
    </row>
    <row r="232" spans="1:9" x14ac:dyDescent="0.25">
      <c r="A232" s="1106"/>
      <c r="B232" s="1106"/>
      <c r="C232" s="1106"/>
      <c r="D232" s="1106"/>
      <c r="E232" s="1106"/>
      <c r="F232" s="1106"/>
      <c r="G232" s="1106"/>
      <c r="H232" s="1106"/>
      <c r="I232" s="1106"/>
    </row>
    <row r="233" spans="1:9" x14ac:dyDescent="0.25">
      <c r="A233" s="1106"/>
      <c r="B233" s="1106"/>
      <c r="C233" s="1106"/>
      <c r="D233" s="1106"/>
      <c r="E233" s="1106"/>
      <c r="F233" s="1106"/>
      <c r="G233" s="1106"/>
      <c r="H233" s="1106"/>
      <c r="I233" s="1106"/>
    </row>
    <row r="234" spans="1:9" x14ac:dyDescent="0.25">
      <c r="A234" s="1106"/>
      <c r="B234" s="1106"/>
      <c r="C234" s="1106"/>
      <c r="D234" s="1106"/>
      <c r="E234" s="1106"/>
      <c r="F234" s="1106"/>
      <c r="G234" s="1106"/>
      <c r="H234" s="1106"/>
      <c r="I234" s="1106"/>
    </row>
    <row r="235" spans="1:9" x14ac:dyDescent="0.25">
      <c r="A235" s="1106"/>
      <c r="B235" s="1106"/>
      <c r="C235" s="1106"/>
      <c r="D235" s="1106"/>
      <c r="E235" s="1106"/>
      <c r="F235" s="1106"/>
      <c r="G235" s="1106"/>
      <c r="H235" s="1106"/>
      <c r="I235" s="1106"/>
    </row>
    <row r="236" spans="1:9" x14ac:dyDescent="0.25">
      <c r="A236" s="1106"/>
      <c r="B236" s="1106"/>
      <c r="C236" s="1106"/>
      <c r="D236" s="1106"/>
      <c r="E236" s="1106"/>
      <c r="F236" s="1106"/>
      <c r="G236" s="1106"/>
      <c r="H236" s="1106"/>
      <c r="I236" s="1106"/>
    </row>
    <row r="237" spans="1:9" x14ac:dyDescent="0.25">
      <c r="A237" s="1106"/>
      <c r="B237" s="1106"/>
      <c r="C237" s="1106"/>
      <c r="D237" s="1106"/>
      <c r="E237" s="1106"/>
      <c r="F237" s="1106"/>
      <c r="G237" s="1106"/>
      <c r="H237" s="1106"/>
      <c r="I237" s="1106"/>
    </row>
    <row r="238" spans="1:9" x14ac:dyDescent="0.25">
      <c r="A238" s="1106"/>
      <c r="B238" s="1106"/>
      <c r="C238" s="1106"/>
      <c r="D238" s="1106"/>
      <c r="E238" s="1106"/>
      <c r="F238" s="1106"/>
      <c r="G238" s="1106"/>
      <c r="H238" s="1106"/>
      <c r="I238" s="1106"/>
    </row>
    <row r="239" spans="1:9" x14ac:dyDescent="0.25">
      <c r="A239" s="1106"/>
      <c r="B239" s="1106"/>
      <c r="C239" s="1106"/>
      <c r="D239" s="1106"/>
      <c r="E239" s="1106"/>
      <c r="F239" s="1106"/>
      <c r="G239" s="1106"/>
      <c r="H239" s="1106"/>
      <c r="I239" s="1106"/>
    </row>
    <row r="240" spans="1:9" x14ac:dyDescent="0.25">
      <c r="A240" s="1106"/>
      <c r="B240" s="1106"/>
      <c r="C240" s="1106"/>
      <c r="D240" s="1106"/>
      <c r="E240" s="1106"/>
      <c r="F240" s="1106"/>
      <c r="G240" s="1106"/>
      <c r="H240" s="1106"/>
      <c r="I240" s="1106"/>
    </row>
    <row r="241" spans="1:9" x14ac:dyDescent="0.25">
      <c r="A241" s="1106"/>
      <c r="B241" s="1106"/>
      <c r="C241" s="1106"/>
      <c r="D241" s="1106"/>
      <c r="E241" s="1106"/>
      <c r="F241" s="1106"/>
      <c r="G241" s="1106"/>
      <c r="H241" s="1106"/>
      <c r="I241" s="1106"/>
    </row>
    <row r="242" spans="1:9" x14ac:dyDescent="0.25">
      <c r="A242" s="1106"/>
      <c r="B242" s="1106"/>
      <c r="C242" s="1106"/>
      <c r="D242" s="1106"/>
      <c r="E242" s="1106"/>
      <c r="F242" s="1106"/>
      <c r="G242" s="1106"/>
      <c r="H242" s="1106"/>
      <c r="I242" s="1106"/>
    </row>
    <row r="243" spans="1:9" x14ac:dyDescent="0.25">
      <c r="A243" s="1106"/>
      <c r="B243" s="1106"/>
      <c r="C243" s="1106"/>
      <c r="D243" s="1106"/>
      <c r="E243" s="1106"/>
      <c r="F243" s="1106"/>
      <c r="G243" s="1106"/>
      <c r="H243" s="1106"/>
      <c r="I243" s="1106"/>
    </row>
    <row r="244" spans="1:9" x14ac:dyDescent="0.25">
      <c r="A244" s="1106"/>
      <c r="B244" s="1106"/>
      <c r="C244" s="1106"/>
      <c r="D244" s="1106"/>
      <c r="E244" s="1106"/>
      <c r="F244" s="1106"/>
      <c r="G244" s="1106"/>
      <c r="H244" s="1106"/>
      <c r="I244" s="1106"/>
    </row>
    <row r="245" spans="1:9" x14ac:dyDescent="0.25">
      <c r="A245" s="1106"/>
      <c r="B245" s="1106"/>
      <c r="C245" s="1106"/>
      <c r="D245" s="1106"/>
      <c r="E245" s="1106"/>
      <c r="F245" s="1106"/>
      <c r="G245" s="1106"/>
      <c r="H245" s="1106"/>
      <c r="I245" s="1106"/>
    </row>
    <row r="246" spans="1:9" x14ac:dyDescent="0.25">
      <c r="A246" s="1106"/>
      <c r="B246" s="1106"/>
      <c r="C246" s="1106"/>
      <c r="D246" s="1106"/>
      <c r="E246" s="1106"/>
      <c r="F246" s="1106"/>
      <c r="G246" s="1106"/>
      <c r="H246" s="1106"/>
      <c r="I246" s="1106"/>
    </row>
    <row r="247" spans="1:9" x14ac:dyDescent="0.25">
      <c r="A247" s="1106"/>
      <c r="B247" s="1106"/>
      <c r="C247" s="1106"/>
      <c r="D247" s="1106"/>
      <c r="E247" s="1106"/>
      <c r="F247" s="1106"/>
      <c r="G247" s="1106"/>
      <c r="H247" s="1106"/>
      <c r="I247" s="1106"/>
    </row>
    <row r="248" spans="1:9" x14ac:dyDescent="0.25">
      <c r="A248" s="1106"/>
      <c r="B248" s="1106"/>
      <c r="C248" s="1106"/>
      <c r="D248" s="1106"/>
      <c r="E248" s="1106"/>
      <c r="F248" s="1106"/>
      <c r="G248" s="1106"/>
      <c r="H248" s="1106"/>
      <c r="I248" s="1106"/>
    </row>
    <row r="249" spans="1:9" x14ac:dyDescent="0.25">
      <c r="A249" s="1106"/>
      <c r="B249" s="1106"/>
      <c r="C249" s="1106"/>
      <c r="D249" s="1106"/>
      <c r="E249" s="1106"/>
      <c r="F249" s="1106"/>
      <c r="G249" s="1106"/>
      <c r="H249" s="1106"/>
      <c r="I249" s="1106"/>
    </row>
    <row r="250" spans="1:9" x14ac:dyDescent="0.25">
      <c r="A250" s="1106"/>
      <c r="B250" s="1106"/>
      <c r="C250" s="1106"/>
      <c r="D250" s="1106"/>
      <c r="E250" s="1106"/>
      <c r="F250" s="1106"/>
      <c r="G250" s="1106"/>
      <c r="H250" s="1106"/>
      <c r="I250" s="1106"/>
    </row>
    <row r="251" spans="1:9" x14ac:dyDescent="0.25">
      <c r="A251" s="1106"/>
      <c r="B251" s="1106"/>
      <c r="C251" s="1106"/>
      <c r="D251" s="1106"/>
      <c r="E251" s="1106"/>
      <c r="F251" s="1106"/>
      <c r="G251" s="1106"/>
      <c r="H251" s="1106"/>
      <c r="I251" s="1106"/>
    </row>
    <row r="252" spans="1:9" x14ac:dyDescent="0.25">
      <c r="A252" s="1106"/>
      <c r="B252" s="1106"/>
      <c r="C252" s="1106"/>
      <c r="D252" s="1106"/>
      <c r="E252" s="1106"/>
      <c r="F252" s="1106"/>
      <c r="G252" s="1106"/>
      <c r="H252" s="1106"/>
      <c r="I252" s="1106"/>
    </row>
    <row r="253" spans="1:9" x14ac:dyDescent="0.25">
      <c r="A253" s="1106"/>
      <c r="B253" s="1106"/>
      <c r="C253" s="1106"/>
      <c r="D253" s="1106"/>
      <c r="E253" s="1106"/>
      <c r="F253" s="1106"/>
      <c r="G253" s="1106"/>
      <c r="H253" s="1106"/>
      <c r="I253" s="1106"/>
    </row>
    <row r="254" spans="1:9" x14ac:dyDescent="0.25">
      <c r="A254" s="1106"/>
      <c r="B254" s="1106"/>
      <c r="C254" s="1106"/>
      <c r="D254" s="1106"/>
      <c r="E254" s="1106"/>
      <c r="F254" s="1106"/>
      <c r="G254" s="1106"/>
      <c r="H254" s="1106"/>
      <c r="I254" s="1106"/>
    </row>
    <row r="255" spans="1:9" x14ac:dyDescent="0.25">
      <c r="A255" s="1106"/>
      <c r="B255" s="1106"/>
      <c r="C255" s="1106"/>
      <c r="D255" s="1106"/>
      <c r="E255" s="1106"/>
      <c r="F255" s="1106"/>
      <c r="G255" s="1106"/>
      <c r="H255" s="1106"/>
      <c r="I255" s="1106"/>
    </row>
    <row r="256" spans="1:9" x14ac:dyDescent="0.25">
      <c r="A256" s="1106"/>
      <c r="B256" s="1106"/>
      <c r="C256" s="1106"/>
      <c r="D256" s="1106"/>
      <c r="E256" s="1106"/>
      <c r="F256" s="1106"/>
      <c r="G256" s="1106"/>
      <c r="H256" s="1106"/>
      <c r="I256" s="1106"/>
    </row>
    <row r="257" spans="1:9" x14ac:dyDescent="0.25">
      <c r="A257" s="1106"/>
      <c r="B257" s="1106"/>
      <c r="C257" s="1106"/>
      <c r="D257" s="1106"/>
      <c r="E257" s="1106"/>
      <c r="F257" s="1106"/>
      <c r="G257" s="1106"/>
      <c r="H257" s="1106"/>
      <c r="I257" s="1106"/>
    </row>
    <row r="258" spans="1:9" x14ac:dyDescent="0.25">
      <c r="A258" s="1106"/>
      <c r="B258" s="1106"/>
      <c r="C258" s="1106"/>
      <c r="D258" s="1106"/>
      <c r="E258" s="1106"/>
      <c r="F258" s="1106"/>
      <c r="G258" s="1106"/>
      <c r="H258" s="1106"/>
      <c r="I258" s="1106"/>
    </row>
    <row r="259" spans="1:9" x14ac:dyDescent="0.25">
      <c r="A259" s="1106"/>
      <c r="B259" s="1106"/>
      <c r="C259" s="1106"/>
      <c r="D259" s="1106"/>
      <c r="E259" s="1106"/>
      <c r="F259" s="1106"/>
      <c r="G259" s="1106"/>
      <c r="H259" s="1106"/>
      <c r="I259" s="1106"/>
    </row>
    <row r="260" spans="1:9" x14ac:dyDescent="0.25">
      <c r="A260" s="1106"/>
      <c r="B260" s="1106"/>
      <c r="C260" s="1106"/>
      <c r="D260" s="1106"/>
      <c r="E260" s="1106"/>
      <c r="F260" s="1106"/>
      <c r="G260" s="1106"/>
      <c r="H260" s="1106"/>
      <c r="I260" s="1106"/>
    </row>
    <row r="261" spans="1:9" x14ac:dyDescent="0.25">
      <c r="A261" s="1106"/>
      <c r="B261" s="1106"/>
      <c r="C261" s="1106"/>
      <c r="D261" s="1106"/>
      <c r="E261" s="1106"/>
      <c r="F261" s="1106"/>
      <c r="G261" s="1106"/>
      <c r="H261" s="1106"/>
      <c r="I261" s="1106"/>
    </row>
    <row r="262" spans="1:9" x14ac:dyDescent="0.25">
      <c r="A262" s="1106"/>
      <c r="B262" s="1106"/>
      <c r="C262" s="1106"/>
      <c r="D262" s="1106"/>
      <c r="E262" s="1106"/>
      <c r="F262" s="1106"/>
      <c r="G262" s="1106"/>
      <c r="H262" s="1106"/>
      <c r="I262" s="1106"/>
    </row>
    <row r="263" spans="1:9" x14ac:dyDescent="0.25">
      <c r="A263" s="1106"/>
      <c r="B263" s="1106"/>
      <c r="C263" s="1106"/>
      <c r="D263" s="1106"/>
      <c r="E263" s="1106"/>
      <c r="F263" s="1106"/>
      <c r="G263" s="1106"/>
      <c r="H263" s="1106"/>
      <c r="I263" s="1106"/>
    </row>
    <row r="264" spans="1:9" x14ac:dyDescent="0.25">
      <c r="A264" s="1106"/>
      <c r="B264" s="1106"/>
      <c r="C264" s="1106"/>
      <c r="D264" s="1106"/>
      <c r="E264" s="1106"/>
      <c r="F264" s="1106"/>
      <c r="G264" s="1106"/>
      <c r="H264" s="1106"/>
      <c r="I264" s="1106"/>
    </row>
    <row r="265" spans="1:9" x14ac:dyDescent="0.25">
      <c r="A265" s="1106"/>
      <c r="B265" s="1106"/>
      <c r="C265" s="1106"/>
      <c r="D265" s="1106"/>
      <c r="E265" s="1106"/>
      <c r="F265" s="1106"/>
      <c r="G265" s="1106"/>
      <c r="H265" s="1106"/>
      <c r="I265" s="1106"/>
    </row>
    <row r="266" spans="1:9" x14ac:dyDescent="0.25">
      <c r="A266" s="1106"/>
      <c r="B266" s="1106"/>
      <c r="C266" s="1106"/>
      <c r="D266" s="1106"/>
      <c r="E266" s="1106"/>
      <c r="F266" s="1106"/>
      <c r="G266" s="1106"/>
      <c r="H266" s="1106"/>
      <c r="I266" s="1106"/>
    </row>
    <row r="267" spans="1:9" x14ac:dyDescent="0.25">
      <c r="A267" s="1106"/>
      <c r="B267" s="1106"/>
      <c r="C267" s="1106"/>
      <c r="D267" s="1106"/>
      <c r="E267" s="1106"/>
      <c r="F267" s="1106"/>
      <c r="G267" s="1106"/>
      <c r="H267" s="1106"/>
      <c r="I267" s="1106"/>
    </row>
    <row r="268" spans="1:9" x14ac:dyDescent="0.25">
      <c r="A268" s="1106"/>
      <c r="B268" s="1106"/>
      <c r="C268" s="1106"/>
      <c r="D268" s="1106"/>
      <c r="E268" s="1106"/>
      <c r="F268" s="1106"/>
      <c r="G268" s="1106"/>
      <c r="H268" s="1106"/>
      <c r="I268" s="1106"/>
    </row>
    <row r="269" spans="1:9" x14ac:dyDescent="0.25">
      <c r="A269" s="1106"/>
      <c r="B269" s="1106"/>
      <c r="C269" s="1106"/>
      <c r="D269" s="1106"/>
      <c r="E269" s="1106"/>
      <c r="F269" s="1106"/>
      <c r="G269" s="1106"/>
      <c r="H269" s="1106"/>
      <c r="I269" s="1106"/>
    </row>
    <row r="270" spans="1:9" x14ac:dyDescent="0.25">
      <c r="A270" s="1106"/>
      <c r="B270" s="1106"/>
      <c r="C270" s="1106"/>
      <c r="D270" s="1106"/>
      <c r="E270" s="1106"/>
      <c r="F270" s="1106"/>
      <c r="G270" s="1106"/>
      <c r="H270" s="1106"/>
      <c r="I270" s="1106"/>
    </row>
    <row r="271" spans="1:9" x14ac:dyDescent="0.25">
      <c r="A271" s="1106"/>
      <c r="B271" s="1106"/>
      <c r="C271" s="1106"/>
      <c r="D271" s="1106"/>
      <c r="E271" s="1106"/>
      <c r="F271" s="1106"/>
      <c r="G271" s="1106"/>
      <c r="H271" s="1106"/>
      <c r="I271" s="1106"/>
    </row>
    <row r="272" spans="1:9" x14ac:dyDescent="0.25">
      <c r="A272" s="1106"/>
      <c r="B272" s="1106"/>
      <c r="C272" s="1106"/>
      <c r="D272" s="1106"/>
      <c r="E272" s="1106"/>
      <c r="F272" s="1106"/>
      <c r="G272" s="1106"/>
      <c r="H272" s="1106"/>
      <c r="I272" s="1106"/>
    </row>
    <row r="273" spans="1:9" x14ac:dyDescent="0.25">
      <c r="A273" s="1106"/>
      <c r="B273" s="1106"/>
      <c r="C273" s="1106"/>
      <c r="D273" s="1106"/>
      <c r="E273" s="1106"/>
      <c r="F273" s="1106"/>
      <c r="G273" s="1106"/>
      <c r="H273" s="1106"/>
      <c r="I273" s="1106"/>
    </row>
    <row r="274" spans="1:9" x14ac:dyDescent="0.25">
      <c r="A274" s="1106"/>
      <c r="B274" s="1106"/>
      <c r="C274" s="1106"/>
      <c r="D274" s="1106"/>
      <c r="E274" s="1106"/>
      <c r="F274" s="1106"/>
      <c r="G274" s="1106"/>
      <c r="H274" s="1106"/>
      <c r="I274" s="1106"/>
    </row>
    <row r="275" spans="1:9" x14ac:dyDescent="0.25">
      <c r="A275" s="1106"/>
      <c r="B275" s="1106"/>
      <c r="C275" s="1106"/>
      <c r="D275" s="1106"/>
      <c r="E275" s="1106"/>
      <c r="F275" s="1106"/>
      <c r="G275" s="1106"/>
      <c r="H275" s="1106"/>
      <c r="I275" s="1106"/>
    </row>
  </sheetData>
  <hyperlinks>
    <hyperlink ref="B4" location="SU_A1200" display="SU_A1200"/>
    <hyperlink ref="F2" location="SU_A1200_BOM" display="Back to BOM"/>
  </hyperlinks>
  <pageMargins left="0.31496062992125984" right="0.31496062992125984" top="0.31496062992125984" bottom="0.39370078740157483" header="0.51181102362204722" footer="0.31496062992125984"/>
  <pageSetup paperSize="9" scale="54" fitToHeight="99" orientation="landscape" horizontalDpi="1200" verticalDpi="1200" r:id="rId1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70" zoomScaleNormal="70" zoomScalePageLayoutView="70" workbookViewId="0">
      <selection activeCell="I14" activeCellId="1" sqref="N11 I14"/>
    </sheetView>
  </sheetViews>
  <sheetFormatPr baseColWidth="10" defaultColWidth="11.5703125" defaultRowHeight="15" x14ac:dyDescent="0.25"/>
  <cols>
    <col min="1" max="1" width="11.5703125" style="103"/>
    <col min="2" max="2" width="38.42578125" style="103" customWidth="1"/>
    <col min="3" max="3" width="30.7109375" style="103" customWidth="1"/>
    <col min="4" max="6" width="11.5703125" style="103"/>
    <col min="7" max="7" width="35" style="103" customWidth="1"/>
    <col min="8" max="8" width="11.5703125" style="103"/>
    <col min="9" max="9" width="24.42578125" style="103" customWidth="1"/>
    <col min="10" max="10" width="13.42578125" style="103" customWidth="1"/>
    <col min="11" max="16384" width="11.5703125" style="103"/>
  </cols>
  <sheetData>
    <row r="1" spans="1:15" ht="14.45" x14ac:dyDescent="0.3">
      <c r="A1" s="1033"/>
      <c r="B1" s="1031"/>
      <c r="C1" s="1031"/>
      <c r="D1" s="1031"/>
      <c r="E1" s="1031"/>
      <c r="F1" s="1031"/>
      <c r="G1" s="1031"/>
      <c r="H1" s="1031"/>
      <c r="I1" s="1031"/>
      <c r="J1" s="1032"/>
      <c r="K1" s="1031"/>
      <c r="L1" s="1031"/>
      <c r="M1" s="1031"/>
      <c r="N1" s="1031"/>
      <c r="O1" s="1030"/>
    </row>
    <row r="2" spans="1:15" ht="14.45" x14ac:dyDescent="0.3">
      <c r="A2" s="1136" t="s">
        <v>0</v>
      </c>
      <c r="B2" s="104" t="s">
        <v>1</v>
      </c>
      <c r="C2" s="204"/>
      <c r="D2" s="204"/>
      <c r="E2" s="204"/>
      <c r="F2" s="58" t="s">
        <v>2</v>
      </c>
      <c r="G2" s="204"/>
      <c r="H2" s="204"/>
      <c r="I2" s="204"/>
      <c r="J2" s="1135" t="s">
        <v>3</v>
      </c>
      <c r="K2" s="1134">
        <v>81</v>
      </c>
      <c r="L2" s="204"/>
      <c r="M2" s="1132" t="s">
        <v>18</v>
      </c>
      <c r="N2" s="1131">
        <f>SU_12002_m+SU_12002_p</f>
        <v>0.38230955799182426</v>
      </c>
      <c r="O2" s="128"/>
    </row>
    <row r="3" spans="1:15" ht="14.45" x14ac:dyDescent="0.3">
      <c r="A3" s="1129" t="s">
        <v>5</v>
      </c>
      <c r="B3" s="104" t="s">
        <v>106</v>
      </c>
      <c r="C3" s="204"/>
      <c r="D3" s="1132" t="s">
        <v>8</v>
      </c>
      <c r="E3" s="58"/>
      <c r="F3" s="204"/>
      <c r="G3" s="204"/>
      <c r="H3" s="204"/>
      <c r="I3" s="204"/>
      <c r="J3" s="204"/>
      <c r="K3" s="204"/>
      <c r="L3" s="204"/>
      <c r="M3" s="1130" t="s">
        <v>6</v>
      </c>
      <c r="N3" s="1133">
        <v>1</v>
      </c>
      <c r="O3" s="128"/>
    </row>
    <row r="4" spans="1:15" ht="14.45" x14ac:dyDescent="0.3">
      <c r="A4" s="1129" t="s">
        <v>7</v>
      </c>
      <c r="B4" s="58" t="str">
        <f>'SU A1200'!B4</f>
        <v>Front Pullrod</v>
      </c>
      <c r="C4" s="204"/>
      <c r="D4" s="1130" t="s">
        <v>10</v>
      </c>
      <c r="E4" s="204"/>
      <c r="F4" s="204"/>
      <c r="G4" s="204"/>
      <c r="H4" s="204"/>
      <c r="I4" s="204"/>
      <c r="J4" s="1132" t="s">
        <v>8</v>
      </c>
      <c r="K4" s="204"/>
      <c r="L4" s="204"/>
      <c r="M4" s="204"/>
      <c r="N4" s="204"/>
      <c r="O4" s="128"/>
    </row>
    <row r="5" spans="1:15" ht="14.45" x14ac:dyDescent="0.3">
      <c r="A5" s="1129" t="s">
        <v>17</v>
      </c>
      <c r="B5" s="889" t="s">
        <v>424</v>
      </c>
      <c r="C5" s="204"/>
      <c r="D5" s="1130" t="s">
        <v>14</v>
      </c>
      <c r="E5" s="204"/>
      <c r="F5" s="204"/>
      <c r="G5" s="204"/>
      <c r="H5" s="204"/>
      <c r="I5" s="204"/>
      <c r="J5" s="1130" t="s">
        <v>10</v>
      </c>
      <c r="K5" s="204"/>
      <c r="L5" s="204"/>
      <c r="M5" s="1132" t="s">
        <v>11</v>
      </c>
      <c r="N5" s="1131">
        <f>N2*SU_12002_q</f>
        <v>0.38230955799182426</v>
      </c>
      <c r="O5" s="128"/>
    </row>
    <row r="6" spans="1:15" ht="14.45" x14ac:dyDescent="0.3">
      <c r="A6" s="1129" t="s">
        <v>9</v>
      </c>
      <c r="B6" s="103" t="s">
        <v>522</v>
      </c>
      <c r="C6" s="204"/>
      <c r="D6" s="204"/>
      <c r="E6" s="204"/>
      <c r="F6" s="204"/>
      <c r="G6" s="204"/>
      <c r="H6" s="204"/>
      <c r="I6" s="204"/>
      <c r="J6" s="1130" t="s">
        <v>14</v>
      </c>
      <c r="K6" s="204"/>
      <c r="L6" s="204"/>
      <c r="M6" s="204"/>
      <c r="N6" s="204"/>
      <c r="O6" s="128"/>
    </row>
    <row r="7" spans="1:15" ht="14.45" x14ac:dyDescent="0.3">
      <c r="A7" s="1129" t="s">
        <v>12</v>
      </c>
      <c r="B7" s="104" t="s">
        <v>13</v>
      </c>
      <c r="C7" s="204"/>
      <c r="D7" s="204"/>
      <c r="E7" s="204"/>
      <c r="F7" s="204"/>
      <c r="G7" s="204"/>
      <c r="H7" s="204"/>
      <c r="I7" s="204"/>
      <c r="J7" s="204"/>
      <c r="K7" s="204"/>
      <c r="L7" s="204"/>
      <c r="M7" s="204"/>
      <c r="N7" s="204"/>
      <c r="O7" s="128"/>
    </row>
    <row r="8" spans="1:15" ht="14.45" x14ac:dyDescent="0.3">
      <c r="A8" s="1129" t="s">
        <v>15</v>
      </c>
      <c r="B8" s="104"/>
      <c r="C8" s="204"/>
      <c r="D8" s="204"/>
      <c r="E8" s="204"/>
      <c r="F8" s="204"/>
      <c r="G8" s="204"/>
      <c r="H8" s="204"/>
      <c r="I8" s="204"/>
      <c r="J8" s="204"/>
      <c r="K8" s="204"/>
      <c r="L8" s="204"/>
      <c r="M8" s="204"/>
      <c r="N8" s="204"/>
      <c r="O8" s="128"/>
    </row>
    <row r="9" spans="1:15" ht="14.45" x14ac:dyDescent="0.3">
      <c r="A9" s="1118"/>
      <c r="B9" s="204"/>
      <c r="C9" s="204"/>
      <c r="D9" s="204"/>
      <c r="E9" s="204"/>
      <c r="F9" s="204"/>
      <c r="G9" s="204"/>
      <c r="H9" s="204"/>
      <c r="I9" s="204"/>
      <c r="J9" s="204"/>
      <c r="K9" s="204"/>
      <c r="L9" s="204"/>
      <c r="M9" s="204"/>
      <c r="N9" s="204"/>
      <c r="O9" s="128"/>
    </row>
    <row r="10" spans="1:15" ht="14.45" x14ac:dyDescent="0.3">
      <c r="A10" s="1117" t="s">
        <v>16</v>
      </c>
      <c r="B10" s="1116" t="s">
        <v>38</v>
      </c>
      <c r="C10" s="1116" t="s">
        <v>22</v>
      </c>
      <c r="D10" s="1116" t="s">
        <v>23</v>
      </c>
      <c r="E10" s="1116" t="s">
        <v>31</v>
      </c>
      <c r="F10" s="1116" t="s">
        <v>32</v>
      </c>
      <c r="G10" s="1116" t="s">
        <v>33</v>
      </c>
      <c r="H10" s="1116" t="s">
        <v>34</v>
      </c>
      <c r="I10" s="1116" t="s">
        <v>39</v>
      </c>
      <c r="J10" s="1116" t="s">
        <v>40</v>
      </c>
      <c r="K10" s="1116" t="s">
        <v>41</v>
      </c>
      <c r="L10" s="1116" t="s">
        <v>42</v>
      </c>
      <c r="M10" s="1116" t="s">
        <v>19</v>
      </c>
      <c r="N10" s="1116" t="s">
        <v>20</v>
      </c>
      <c r="O10" s="128"/>
    </row>
    <row r="11" spans="1:15" ht="16.149999999999999" customHeight="1" x14ac:dyDescent="0.3">
      <c r="A11" s="241">
        <v>10</v>
      </c>
      <c r="B11" s="1245" t="s">
        <v>78</v>
      </c>
      <c r="C11" s="1218" t="s">
        <v>555</v>
      </c>
      <c r="D11" s="1219">
        <v>2.25</v>
      </c>
      <c r="E11" s="1029">
        <f>J11*K11*L11</f>
        <v>6.9915359107477454E-2</v>
      </c>
      <c r="F11" s="383" t="s">
        <v>43</v>
      </c>
      <c r="G11" s="383"/>
      <c r="H11" s="206"/>
      <c r="I11" s="444" t="s">
        <v>148</v>
      </c>
      <c r="J11" s="207">
        <f>PI()*9*9/1000000</f>
        <v>2.5446900494077322E-4</v>
      </c>
      <c r="K11" s="195">
        <v>3.5000000000000003E-2</v>
      </c>
      <c r="L11" s="191">
        <v>7850</v>
      </c>
      <c r="M11" s="208">
        <v>1</v>
      </c>
      <c r="N11" s="179">
        <f>D11*E11*M11</f>
        <v>0.15730955799182428</v>
      </c>
      <c r="O11" s="209"/>
    </row>
    <row r="12" spans="1:15" ht="14.45" x14ac:dyDescent="0.3">
      <c r="A12" s="1115"/>
      <c r="B12" s="1112"/>
      <c r="C12" s="1112"/>
      <c r="D12" s="1112"/>
      <c r="E12" s="1112"/>
      <c r="F12" s="1112"/>
      <c r="G12" s="1112"/>
      <c r="H12" s="1112"/>
      <c r="I12" s="1112"/>
      <c r="J12" s="1112"/>
      <c r="K12" s="1112"/>
      <c r="L12" s="1112"/>
      <c r="M12" s="1114" t="s">
        <v>20</v>
      </c>
      <c r="N12" s="1119">
        <f>N11</f>
        <v>0.15730955799182428</v>
      </c>
      <c r="O12" s="128"/>
    </row>
    <row r="13" spans="1:15" ht="14.45" x14ac:dyDescent="0.3">
      <c r="A13" s="1117" t="s">
        <v>16</v>
      </c>
      <c r="B13" s="1116" t="s">
        <v>21</v>
      </c>
      <c r="C13" s="1116" t="s">
        <v>22</v>
      </c>
      <c r="D13" s="1116" t="s">
        <v>23</v>
      </c>
      <c r="E13" s="1116" t="s">
        <v>24</v>
      </c>
      <c r="F13" s="1116" t="s">
        <v>19</v>
      </c>
      <c r="G13" s="1116" t="s">
        <v>25</v>
      </c>
      <c r="H13" s="1116" t="s">
        <v>26</v>
      </c>
      <c r="I13" s="1116" t="s">
        <v>20</v>
      </c>
      <c r="J13" s="1112"/>
      <c r="K13" s="1112"/>
      <c r="L13" s="1112"/>
      <c r="M13" s="1112"/>
      <c r="N13" s="1112"/>
      <c r="O13" s="128"/>
    </row>
    <row r="14" spans="1:15" ht="28.15" customHeight="1" x14ac:dyDescent="0.3">
      <c r="A14" s="1211">
        <v>10</v>
      </c>
      <c r="B14" s="1244" t="s">
        <v>77</v>
      </c>
      <c r="C14" s="1212" t="s">
        <v>556</v>
      </c>
      <c r="D14" s="1213">
        <v>0.15</v>
      </c>
      <c r="E14" s="1212" t="s">
        <v>76</v>
      </c>
      <c r="F14" s="1212">
        <v>1.5</v>
      </c>
      <c r="G14" s="1212"/>
      <c r="H14" s="1212"/>
      <c r="I14" s="1213">
        <f>F14*D14</f>
        <v>0.22499999999999998</v>
      </c>
      <c r="J14" s="213"/>
      <c r="K14" s="213"/>
      <c r="L14" s="213"/>
      <c r="M14" s="213"/>
      <c r="N14" s="213"/>
      <c r="O14" s="214"/>
    </row>
    <row r="15" spans="1:15" ht="14.45" x14ac:dyDescent="0.3">
      <c r="A15" s="1115"/>
      <c r="B15" s="1112"/>
      <c r="C15" s="1112"/>
      <c r="D15" s="1112"/>
      <c r="E15" s="1112"/>
      <c r="F15" s="1112"/>
      <c r="G15" s="1112"/>
      <c r="H15" s="1114" t="s">
        <v>20</v>
      </c>
      <c r="I15" s="1113">
        <f>SUM(I14:I14)</f>
        <v>0.22499999999999998</v>
      </c>
      <c r="J15" s="1112"/>
      <c r="K15" s="1112"/>
      <c r="L15" s="1112"/>
      <c r="M15" s="1112"/>
      <c r="N15" s="1112"/>
      <c r="O15" s="128"/>
    </row>
    <row r="16" spans="1:15" ht="14.45" x14ac:dyDescent="0.3">
      <c r="A16" s="1028"/>
      <c r="B16" s="219"/>
      <c r="C16" s="219"/>
      <c r="D16" s="219"/>
      <c r="E16" s="219"/>
      <c r="F16" s="219"/>
      <c r="G16" s="219"/>
      <c r="H16" s="219"/>
      <c r="I16" s="220"/>
      <c r="J16" s="219"/>
      <c r="K16" s="219"/>
      <c r="L16" s="219"/>
      <c r="M16" s="219"/>
      <c r="N16" s="219"/>
      <c r="O16" s="214"/>
    </row>
    <row r="17" spans="1:15" thickBot="1" x14ac:dyDescent="0.35">
      <c r="A17" s="1027"/>
      <c r="B17" s="1026"/>
      <c r="C17" s="1026"/>
      <c r="D17" s="1026"/>
      <c r="E17" s="1026"/>
      <c r="F17" s="1026"/>
      <c r="G17" s="1026"/>
      <c r="H17" s="1026"/>
      <c r="I17" s="1026"/>
      <c r="J17" s="1026"/>
      <c r="K17" s="1026"/>
      <c r="L17" s="1026"/>
      <c r="M17" s="1026"/>
      <c r="N17" s="1026"/>
      <c r="O17" s="1025"/>
    </row>
  </sheetData>
  <hyperlinks>
    <hyperlink ref="F2" location="SU_A1200_BOM" display="Back to BOM"/>
    <hyperlink ref="B4" location="SU_A1200" display="SU_A1200"/>
  </hyperlinks>
  <pageMargins left="0.31496062992125984" right="0.31496062992125984" top="0.31496062992125984" bottom="0.39370078740157483" header="0.51181102362204722" footer="0.31496062992125984"/>
  <pageSetup paperSize="9" scale="55" fitToHeight="99" orientation="landscape" horizontalDpi="1200" verticalDpi="1200"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40"/>
  <sheetViews>
    <sheetView zoomScale="70" zoomScaleNormal="70" zoomScalePageLayoutView="70" workbookViewId="0">
      <selection activeCell="B6" sqref="B6"/>
    </sheetView>
  </sheetViews>
  <sheetFormatPr baseColWidth="10" defaultColWidth="11.5703125" defaultRowHeight="15" x14ac:dyDescent="0.25"/>
  <cols>
    <col min="1" max="1" width="11.5703125" style="103" customWidth="1"/>
    <col min="2" max="2" width="34.85546875" style="103" customWidth="1"/>
    <col min="3" max="3" width="15.7109375" style="103" customWidth="1"/>
    <col min="4" max="4" width="11.5703125" style="103"/>
    <col min="5" max="5" width="15.28515625" style="103" customWidth="1"/>
    <col min="6" max="6" width="7.85546875" style="103" customWidth="1"/>
    <col min="7" max="7" width="39.7109375" style="103" customWidth="1"/>
    <col min="8" max="8" width="11.5703125" style="103"/>
    <col min="9" max="9" width="27.42578125" style="103" customWidth="1"/>
    <col min="10" max="16384" width="11.5703125" style="103"/>
  </cols>
  <sheetData>
    <row r="1" spans="1:16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6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SU_12003_m+SU_12003_p</f>
        <v>0.34825628167808953</v>
      </c>
      <c r="O2" s="107"/>
    </row>
    <row r="3" spans="1:16" ht="14.45" x14ac:dyDescent="0.3">
      <c r="A3" s="377" t="s">
        <v>5</v>
      </c>
      <c r="B3" s="104" t="str">
        <f>'SU A1200'!B3</f>
        <v>Suspension &amp; Shocks</v>
      </c>
      <c r="C3" s="105"/>
      <c r="D3" s="377" t="s">
        <v>8</v>
      </c>
      <c r="E3" s="60"/>
      <c r="F3" s="105"/>
      <c r="G3" s="105"/>
      <c r="H3" s="105"/>
      <c r="I3" s="105"/>
      <c r="J3" s="105"/>
      <c r="K3" s="105"/>
      <c r="L3" s="105"/>
      <c r="M3" s="377" t="s">
        <v>6</v>
      </c>
      <c r="N3" s="47">
        <v>2</v>
      </c>
      <c r="O3" s="107"/>
    </row>
    <row r="4" spans="1:16" ht="14.45" x14ac:dyDescent="0.3">
      <c r="A4" s="377" t="s">
        <v>7</v>
      </c>
      <c r="B4" s="58" t="str">
        <f>'SU A1200'!B4</f>
        <v>Front Pullrod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6" ht="14.45" x14ac:dyDescent="0.3">
      <c r="A5" s="377" t="s">
        <v>17</v>
      </c>
      <c r="B5" s="109" t="s">
        <v>248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0.69651256335617906</v>
      </c>
      <c r="O5" s="107"/>
    </row>
    <row r="6" spans="1:16" ht="14.45" x14ac:dyDescent="0.3">
      <c r="A6" s="377" t="s">
        <v>9</v>
      </c>
      <c r="B6" s="103" t="s">
        <v>524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6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6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6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6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1148" t="s">
        <v>32</v>
      </c>
      <c r="G10" s="1148" t="s">
        <v>33</v>
      </c>
      <c r="H10" s="1148" t="s">
        <v>34</v>
      </c>
      <c r="I10" s="1148" t="s">
        <v>39</v>
      </c>
      <c r="J10" s="1148" t="s">
        <v>40</v>
      </c>
      <c r="K10" s="1148" t="s">
        <v>41</v>
      </c>
      <c r="L10" s="1148" t="s">
        <v>42</v>
      </c>
      <c r="M10" s="1148" t="s">
        <v>19</v>
      </c>
      <c r="N10" s="1148" t="s">
        <v>20</v>
      </c>
      <c r="O10" s="107"/>
    </row>
    <row r="11" spans="1:16" ht="14.45" x14ac:dyDescent="0.3">
      <c r="A11" s="1147">
        <v>10</v>
      </c>
      <c r="B11" s="1146" t="s">
        <v>110</v>
      </c>
      <c r="C11" s="1143" t="s">
        <v>435</v>
      </c>
      <c r="D11" s="1145">
        <v>2.25</v>
      </c>
      <c r="E11" s="1144">
        <f>L11*J11*K11</f>
        <v>7.8916807458175604E-3</v>
      </c>
      <c r="F11" s="1143" t="s">
        <v>43</v>
      </c>
      <c r="G11" s="1143"/>
      <c r="H11" s="1142"/>
      <c r="I11" s="1141" t="s">
        <v>434</v>
      </c>
      <c r="J11" s="207">
        <f>PI()*8*8/1000000</f>
        <v>2.0106192982974677E-4</v>
      </c>
      <c r="K11" s="174">
        <v>5.0000000000000001E-3</v>
      </c>
      <c r="L11" s="852">
        <v>7850</v>
      </c>
      <c r="M11" s="175">
        <v>1</v>
      </c>
      <c r="N11" s="167">
        <f>IF(J11="",D11*M11,D11*J11*K11*L11*M11)</f>
        <v>1.7756281678089514E-2</v>
      </c>
      <c r="O11" s="112"/>
      <c r="P11" s="113"/>
    </row>
    <row r="12" spans="1:16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1.7756281678089514E-2</v>
      </c>
      <c r="O12" s="107"/>
    </row>
    <row r="13" spans="1:16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6" ht="14.45" x14ac:dyDescent="0.3">
      <c r="A14" s="114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6" ht="14.45" x14ac:dyDescent="0.3">
      <c r="A15" s="1139">
        <v>10</v>
      </c>
      <c r="B15" s="1125" t="s">
        <v>390</v>
      </c>
      <c r="C15" s="1125"/>
      <c r="D15" s="1120">
        <v>1.3</v>
      </c>
      <c r="E15" s="1125" t="s">
        <v>72</v>
      </c>
      <c r="F15" s="1125">
        <v>1</v>
      </c>
      <c r="G15" s="1125" t="s">
        <v>523</v>
      </c>
      <c r="H15" s="1125">
        <f>1/8</f>
        <v>0.125</v>
      </c>
      <c r="I15" s="1120">
        <f>D15*F15*H15</f>
        <v>0.16250000000000001</v>
      </c>
      <c r="J15" s="122"/>
      <c r="K15" s="122"/>
      <c r="L15" s="122"/>
      <c r="M15" s="122"/>
      <c r="N15" s="122"/>
      <c r="O15" s="123"/>
      <c r="P15" s="124"/>
    </row>
    <row r="16" spans="1:16" ht="14.45" x14ac:dyDescent="0.3">
      <c r="A16" s="1139">
        <v>20</v>
      </c>
      <c r="B16" s="1125" t="s">
        <v>80</v>
      </c>
      <c r="C16" s="1125"/>
      <c r="D16" s="1120">
        <v>0.04</v>
      </c>
      <c r="E16" s="1125" t="s">
        <v>79</v>
      </c>
      <c r="F16" s="1125">
        <v>1.4</v>
      </c>
      <c r="G16" s="1125" t="s">
        <v>93</v>
      </c>
      <c r="H16" s="1125">
        <v>3</v>
      </c>
      <c r="I16" s="1120">
        <f>D16*F16*H16</f>
        <v>0.16799999999999998</v>
      </c>
      <c r="J16" s="105"/>
      <c r="K16" s="105"/>
      <c r="L16" s="105"/>
      <c r="M16" s="105"/>
      <c r="N16" s="105"/>
      <c r="O16" s="107"/>
    </row>
    <row r="17" spans="1:16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58">
        <f>SUM(I15:I16)</f>
        <v>0.33050000000000002</v>
      </c>
      <c r="J17" s="115"/>
      <c r="K17" s="115"/>
      <c r="L17" s="115"/>
      <c r="M17" s="115"/>
      <c r="N17" s="115"/>
      <c r="O17" s="107"/>
    </row>
    <row r="18" spans="1:16" thickBot="1" x14ac:dyDescent="0.35">
      <c r="A18" s="118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119"/>
      <c r="O18" s="120"/>
    </row>
    <row r="22" spans="1:16" ht="14.45" x14ac:dyDescent="0.3">
      <c r="A22" s="131"/>
      <c r="B22" s="131"/>
      <c r="C22" s="131"/>
      <c r="D22" s="131"/>
      <c r="E22" s="131"/>
      <c r="F22" s="131"/>
      <c r="G22" s="131"/>
      <c r="H22" s="131"/>
      <c r="I22" s="131"/>
      <c r="J22" s="131"/>
      <c r="K22" s="131"/>
      <c r="L22" s="131"/>
      <c r="M22" s="131"/>
      <c r="N22" s="131"/>
      <c r="O22" s="131"/>
      <c r="P22" s="131"/>
    </row>
    <row r="23" spans="1:16" ht="14.45" x14ac:dyDescent="0.3">
      <c r="A23" s="131"/>
      <c r="B23" s="1039"/>
      <c r="C23" s="1035"/>
      <c r="D23" s="1035"/>
      <c r="E23" s="1035"/>
      <c r="F23" s="1035"/>
      <c r="G23" s="253"/>
      <c r="H23" s="1035"/>
      <c r="I23" s="1035"/>
      <c r="J23" s="1035"/>
      <c r="K23" s="1057"/>
      <c r="L23" s="1038"/>
      <c r="M23" s="1035"/>
      <c r="N23" s="1039"/>
      <c r="O23" s="1046"/>
      <c r="P23" s="131"/>
    </row>
    <row r="24" spans="1:16" ht="14.45" x14ac:dyDescent="0.3">
      <c r="A24" s="131"/>
      <c r="B24" s="1039"/>
      <c r="C24" s="1035"/>
      <c r="D24" s="1138"/>
      <c r="E24" s="253"/>
      <c r="F24" s="1035"/>
      <c r="G24" s="1035"/>
      <c r="H24" s="1035"/>
      <c r="I24" s="1035"/>
      <c r="J24" s="1035"/>
      <c r="K24" s="1035"/>
      <c r="L24" s="1035"/>
      <c r="M24" s="1035"/>
      <c r="N24" s="1039"/>
      <c r="O24" s="1055"/>
      <c r="P24" s="131"/>
    </row>
    <row r="25" spans="1:16" ht="14.45" x14ac:dyDescent="0.3">
      <c r="A25" s="131"/>
      <c r="B25" s="1039"/>
      <c r="C25" s="253"/>
      <c r="D25" s="1035"/>
      <c r="E25" s="1039"/>
      <c r="F25" s="1035"/>
      <c r="G25" s="1035"/>
      <c r="H25" s="1035"/>
      <c r="I25" s="1035"/>
      <c r="J25" s="1035"/>
      <c r="K25" s="1039"/>
      <c r="L25" s="1035"/>
      <c r="M25" s="1035"/>
      <c r="N25" s="1035"/>
      <c r="O25" s="1137"/>
      <c r="P25" s="131"/>
    </row>
    <row r="26" spans="1:16" ht="14.45" x14ac:dyDescent="0.3">
      <c r="A26" s="131"/>
      <c r="B26" s="1039"/>
      <c r="C26" s="1054"/>
      <c r="D26" s="1035"/>
      <c r="E26" s="1039"/>
      <c r="F26" s="1035"/>
      <c r="G26" s="1035"/>
      <c r="H26" s="1035"/>
      <c r="I26" s="1035"/>
      <c r="J26" s="1035"/>
      <c r="K26" s="1039"/>
      <c r="L26" s="1035"/>
      <c r="M26" s="1035"/>
      <c r="N26" s="1039"/>
      <c r="O26" s="1046"/>
      <c r="P26" s="131"/>
    </row>
    <row r="27" spans="1:16" ht="14.45" x14ac:dyDescent="0.3">
      <c r="A27" s="131"/>
      <c r="B27" s="1039"/>
      <c r="C27" s="1053"/>
      <c r="D27" s="1035"/>
      <c r="E27" s="1035"/>
      <c r="F27" s="1035"/>
      <c r="G27" s="1035"/>
      <c r="H27" s="1035"/>
      <c r="I27" s="1035"/>
      <c r="J27" s="1035"/>
      <c r="K27" s="1039"/>
      <c r="L27" s="1035"/>
      <c r="M27" s="1035"/>
      <c r="N27" s="1035"/>
      <c r="O27" s="1035"/>
      <c r="P27" s="131"/>
    </row>
    <row r="28" spans="1:16" ht="14.45" x14ac:dyDescent="0.3">
      <c r="A28" s="131"/>
      <c r="B28" s="1039"/>
      <c r="C28" s="1035"/>
      <c r="D28" s="1035"/>
      <c r="E28" s="1035"/>
      <c r="F28" s="1035"/>
      <c r="G28" s="1035"/>
      <c r="H28" s="1035"/>
      <c r="I28" s="1035"/>
      <c r="J28" s="1035"/>
      <c r="K28" s="1035"/>
      <c r="L28" s="1035"/>
      <c r="M28" s="1035"/>
      <c r="N28" s="1035"/>
      <c r="O28" s="1035"/>
      <c r="P28" s="131"/>
    </row>
    <row r="29" spans="1:16" ht="14.45" x14ac:dyDescent="0.3">
      <c r="A29" s="131"/>
      <c r="B29" s="1039"/>
      <c r="C29" s="1137"/>
      <c r="D29" s="1137"/>
      <c r="E29" s="1137"/>
      <c r="F29" s="1137"/>
      <c r="G29" s="1137"/>
      <c r="H29" s="1137"/>
      <c r="I29" s="1137"/>
      <c r="J29" s="1137"/>
      <c r="K29" s="1137"/>
      <c r="L29" s="1137"/>
      <c r="M29" s="1137"/>
      <c r="N29" s="1137"/>
      <c r="O29" s="1137"/>
      <c r="P29" s="131"/>
    </row>
    <row r="30" spans="1:16" ht="14.45" x14ac:dyDescent="0.3">
      <c r="A30" s="131"/>
      <c r="B30" s="131"/>
      <c r="C30" s="131"/>
      <c r="D30" s="131"/>
      <c r="E30" s="131"/>
      <c r="F30" s="131"/>
      <c r="G30" s="131"/>
      <c r="H30" s="131"/>
      <c r="I30" s="131"/>
      <c r="J30" s="131"/>
      <c r="K30" s="131"/>
      <c r="L30" s="131"/>
      <c r="M30" s="131"/>
      <c r="N30" s="131"/>
      <c r="O30" s="131"/>
      <c r="P30" s="131"/>
    </row>
    <row r="31" spans="1:16" ht="14.45" x14ac:dyDescent="0.3">
      <c r="A31" s="131"/>
      <c r="B31" s="1039"/>
      <c r="C31" s="1039"/>
      <c r="D31" s="1039"/>
      <c r="E31" s="1039"/>
      <c r="F31" s="1039"/>
      <c r="G31" s="1039"/>
      <c r="H31" s="1039"/>
      <c r="I31" s="1039"/>
      <c r="J31" s="1039"/>
      <c r="K31" s="1039"/>
      <c r="L31" s="1039"/>
      <c r="M31" s="1039"/>
      <c r="N31" s="1039"/>
      <c r="O31" s="1039"/>
      <c r="P31" s="131"/>
    </row>
    <row r="32" spans="1:16" ht="14.45" x14ac:dyDescent="0.3">
      <c r="A32" s="131"/>
      <c r="B32" s="1035"/>
      <c r="C32" s="1035"/>
      <c r="D32" s="1035"/>
      <c r="E32" s="1042"/>
      <c r="F32" s="1052"/>
      <c r="G32" s="1035"/>
      <c r="H32" s="1035"/>
      <c r="I32" s="1051"/>
      <c r="J32" s="1050"/>
      <c r="K32" s="1049"/>
      <c r="L32" s="1048"/>
      <c r="M32" s="1047"/>
      <c r="N32" s="1047"/>
      <c r="O32" s="1046"/>
      <c r="P32" s="131"/>
    </row>
    <row r="33" spans="1:16" ht="14.45" x14ac:dyDescent="0.3">
      <c r="A33" s="131"/>
      <c r="B33" s="1039"/>
      <c r="C33" s="1039"/>
      <c r="D33" s="1039"/>
      <c r="E33" s="1039"/>
      <c r="F33" s="1039"/>
      <c r="G33" s="1039"/>
      <c r="H33" s="1039"/>
      <c r="I33" s="1039"/>
      <c r="J33" s="1039"/>
      <c r="K33" s="1039"/>
      <c r="L33" s="1039"/>
      <c r="M33" s="1039"/>
      <c r="N33" s="1041"/>
      <c r="O33" s="1040"/>
      <c r="P33" s="131"/>
    </row>
    <row r="34" spans="1:16" x14ac:dyDescent="0.25">
      <c r="A34" s="131"/>
      <c r="B34" s="131"/>
      <c r="C34" s="131"/>
      <c r="D34" s="131"/>
      <c r="E34" s="131"/>
      <c r="F34" s="131"/>
      <c r="G34" s="131"/>
      <c r="H34" s="131"/>
      <c r="I34" s="131"/>
      <c r="J34" s="131"/>
      <c r="K34" s="131"/>
      <c r="L34" s="131"/>
      <c r="M34" s="131"/>
      <c r="N34" s="131"/>
      <c r="O34" s="131"/>
      <c r="P34" s="131"/>
    </row>
    <row r="35" spans="1:16" x14ac:dyDescent="0.25">
      <c r="A35" s="131"/>
      <c r="B35" s="1039"/>
      <c r="C35" s="1039"/>
      <c r="D35" s="1039"/>
      <c r="E35" s="1039"/>
      <c r="F35" s="1039"/>
      <c r="G35" s="1039"/>
      <c r="H35" s="1039"/>
      <c r="I35" s="1039"/>
      <c r="J35" s="1039"/>
      <c r="K35" s="1039"/>
      <c r="L35" s="1039"/>
      <c r="M35" s="1039"/>
      <c r="N35" s="1039"/>
      <c r="O35" s="1039"/>
      <c r="P35" s="131"/>
    </row>
    <row r="36" spans="1:16" x14ac:dyDescent="0.25">
      <c r="A36" s="131"/>
      <c r="B36" s="1035"/>
      <c r="C36" s="187"/>
      <c r="D36" s="1045"/>
      <c r="E36" s="1042"/>
      <c r="F36" s="1035"/>
      <c r="G36" s="1035"/>
      <c r="H36" s="1043"/>
      <c r="I36" s="1044"/>
      <c r="J36" s="1042"/>
      <c r="K36" s="1137"/>
      <c r="L36" s="1137"/>
      <c r="M36" s="1137"/>
      <c r="N36" s="1137"/>
      <c r="O36" s="1137"/>
      <c r="P36" s="131"/>
    </row>
    <row r="37" spans="1:16" x14ac:dyDescent="0.25">
      <c r="A37" s="131"/>
      <c r="B37" s="1035"/>
      <c r="C37" s="187"/>
      <c r="D37" s="1045"/>
      <c r="E37" s="1042"/>
      <c r="F37" s="1035"/>
      <c r="G37" s="1044"/>
      <c r="H37" s="1043"/>
      <c r="I37" s="1035"/>
      <c r="J37" s="1042"/>
      <c r="K37" s="1137"/>
      <c r="L37" s="1137"/>
      <c r="M37" s="1137"/>
      <c r="N37" s="1137"/>
      <c r="O37" s="1137"/>
      <c r="P37" s="131"/>
    </row>
    <row r="38" spans="1:16" x14ac:dyDescent="0.25">
      <c r="A38" s="131"/>
      <c r="B38" s="1039"/>
      <c r="C38" s="1039"/>
      <c r="D38" s="1039"/>
      <c r="E38" s="1039"/>
      <c r="F38" s="1039"/>
      <c r="G38" s="1039"/>
      <c r="H38" s="1039"/>
      <c r="I38" s="1041"/>
      <c r="J38" s="1040"/>
      <c r="K38" s="1039"/>
      <c r="L38" s="1039"/>
      <c r="M38" s="1039"/>
      <c r="N38" s="1039"/>
      <c r="O38" s="1039"/>
      <c r="P38" s="131"/>
    </row>
    <row r="39" spans="1:16" x14ac:dyDescent="0.25">
      <c r="A39" s="131"/>
      <c r="B39" s="1137"/>
      <c r="C39" s="1137"/>
      <c r="D39" s="1137"/>
      <c r="E39" s="1137"/>
      <c r="F39" s="1137"/>
      <c r="G39" s="1137"/>
      <c r="H39" s="1137"/>
      <c r="I39" s="1038"/>
      <c r="J39" s="1037"/>
      <c r="K39" s="1137"/>
      <c r="L39" s="1035"/>
      <c r="M39" s="1035"/>
      <c r="N39" s="1035"/>
      <c r="O39" s="1035"/>
      <c r="P39" s="131"/>
    </row>
    <row r="40" spans="1:16" x14ac:dyDescent="0.25">
      <c r="B40" s="1034"/>
      <c r="C40" s="1034"/>
      <c r="D40" s="1034"/>
      <c r="E40" s="1034"/>
      <c r="F40" s="1034"/>
      <c r="G40" s="1034"/>
      <c r="H40" s="1034"/>
      <c r="I40" s="1034"/>
      <c r="J40" s="1034"/>
      <c r="K40" s="1034"/>
      <c r="L40" s="1034"/>
      <c r="M40" s="1034"/>
      <c r="N40" s="1034"/>
      <c r="O40" s="1034"/>
    </row>
  </sheetData>
  <hyperlinks>
    <hyperlink ref="B4" location="SU_A1200" display="SU_A1200"/>
    <hyperlink ref="G2" location="SU_A1200_BOM" display="Back to BOM"/>
  </hyperlinks>
  <pageMargins left="0.31496062992125984" right="0.31496062992125984" top="0.31496062992125984" bottom="0.39370078740157483" header="0.51181102362204722" footer="0.31496062992125984"/>
  <pageSetup paperSize="9" scale="58" fitToHeight="99" orientation="landscape" horizontalDpi="1200" verticalDpi="1200" r:id="rId1"/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8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8.42578125" style="103" customWidth="1"/>
    <col min="3" max="3" width="15" style="103" customWidth="1"/>
    <col min="4" max="6" width="11.5703125" style="103"/>
    <col min="7" max="7" width="18.5703125" style="103" customWidth="1"/>
    <col min="8" max="8" width="11.5703125" style="103"/>
    <col min="9" max="9" width="14.7109375" style="103" customWidth="1"/>
    <col min="10" max="16384" width="11.5703125" style="103"/>
  </cols>
  <sheetData>
    <row r="1" spans="1:16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6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SU_12003_m+SU_12003_p</f>
        <v>0.34825628167808953</v>
      </c>
      <c r="O2" s="107"/>
    </row>
    <row r="3" spans="1:16" ht="14.45" x14ac:dyDescent="0.3">
      <c r="A3" s="377" t="s">
        <v>5</v>
      </c>
      <c r="B3" s="104" t="str">
        <f>'SU A1200'!B3</f>
        <v>Suspension &amp; Shocks</v>
      </c>
      <c r="C3" s="105"/>
      <c r="D3" s="377" t="s">
        <v>8</v>
      </c>
      <c r="E3" s="60"/>
      <c r="F3" s="105"/>
      <c r="G3" s="105"/>
      <c r="H3" s="105"/>
      <c r="I3" s="105"/>
      <c r="J3" s="105"/>
      <c r="K3" s="105"/>
      <c r="L3" s="105"/>
      <c r="M3" s="377" t="s">
        <v>6</v>
      </c>
      <c r="N3" s="47">
        <v>2</v>
      </c>
      <c r="O3" s="107"/>
    </row>
    <row r="4" spans="1:16" ht="14.45" x14ac:dyDescent="0.3">
      <c r="A4" s="377" t="s">
        <v>7</v>
      </c>
      <c r="B4" s="58" t="str">
        <f>'SU A1200'!B4</f>
        <v>Front Pullrod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6" ht="14.45" x14ac:dyDescent="0.3">
      <c r="A5" s="377" t="s">
        <v>17</v>
      </c>
      <c r="B5" s="109" t="s">
        <v>218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0.69651256335617906</v>
      </c>
      <c r="O5" s="107"/>
    </row>
    <row r="6" spans="1:16" ht="14.45" x14ac:dyDescent="0.3">
      <c r="A6" s="377" t="s">
        <v>9</v>
      </c>
      <c r="B6" s="103" t="s">
        <v>525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6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6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6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6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1161" t="s">
        <v>32</v>
      </c>
      <c r="G10" s="1161" t="s">
        <v>33</v>
      </c>
      <c r="H10" s="1161" t="s">
        <v>34</v>
      </c>
      <c r="I10" s="1161" t="s">
        <v>39</v>
      </c>
      <c r="J10" s="1161" t="s">
        <v>40</v>
      </c>
      <c r="K10" s="1161" t="s">
        <v>41</v>
      </c>
      <c r="L10" s="1161" t="s">
        <v>42</v>
      </c>
      <c r="M10" s="1161" t="s">
        <v>19</v>
      </c>
      <c r="N10" s="1161" t="s">
        <v>20</v>
      </c>
      <c r="O10" s="107"/>
    </row>
    <row r="11" spans="1:16" ht="28.9" x14ac:dyDescent="0.3">
      <c r="A11" s="1160">
        <v>10</v>
      </c>
      <c r="B11" s="1159" t="s">
        <v>110</v>
      </c>
      <c r="C11" s="1156" t="s">
        <v>435</v>
      </c>
      <c r="D11" s="1158">
        <v>2.25</v>
      </c>
      <c r="E11" s="1157">
        <f>L11*J11*K11</f>
        <v>9.4700168949810731E-3</v>
      </c>
      <c r="F11" s="1156" t="s">
        <v>43</v>
      </c>
      <c r="G11" s="1156"/>
      <c r="H11" s="1155"/>
      <c r="I11" s="1154" t="s">
        <v>434</v>
      </c>
      <c r="J11" s="1153">
        <f>PI()*8*8/1000000</f>
        <v>2.0106192982974677E-4</v>
      </c>
      <c r="K11" s="1071">
        <v>6.0000000000000001E-3</v>
      </c>
      <c r="L11" s="972">
        <v>7850</v>
      </c>
      <c r="M11" s="270">
        <v>1</v>
      </c>
      <c r="N11" s="173">
        <f>IF(J11="",D11*M11,D11*J11*K11*L11*M11)</f>
        <v>2.1307538013707415E-2</v>
      </c>
      <c r="O11" s="112"/>
      <c r="P11" s="113"/>
    </row>
    <row r="12" spans="1:16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2.1307538013707415E-2</v>
      </c>
      <c r="O12" s="107"/>
    </row>
    <row r="13" spans="1:16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6" ht="14.45" x14ac:dyDescent="0.3">
      <c r="A14" s="1152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6" ht="28.9" x14ac:dyDescent="0.3">
      <c r="A15" s="1151">
        <v>10</v>
      </c>
      <c r="B15" s="1150" t="s">
        <v>390</v>
      </c>
      <c r="C15" s="1150"/>
      <c r="D15" s="1149">
        <v>1.3</v>
      </c>
      <c r="E15" s="1150" t="s">
        <v>72</v>
      </c>
      <c r="F15" s="1150">
        <v>1</v>
      </c>
      <c r="G15" s="1150" t="s">
        <v>523</v>
      </c>
      <c r="H15" s="1150">
        <f>1/8</f>
        <v>0.125</v>
      </c>
      <c r="I15" s="1149">
        <f>D15*F15*H15</f>
        <v>0.16250000000000001</v>
      </c>
      <c r="J15" s="122"/>
      <c r="K15" s="122"/>
      <c r="L15" s="122"/>
      <c r="M15" s="122"/>
      <c r="N15" s="122"/>
      <c r="O15" s="123"/>
      <c r="P15" s="124"/>
    </row>
    <row r="16" spans="1:16" ht="14.45" x14ac:dyDescent="0.3">
      <c r="A16" s="1151">
        <v>20</v>
      </c>
      <c r="B16" s="1150" t="s">
        <v>80</v>
      </c>
      <c r="C16" s="1150"/>
      <c r="D16" s="1149">
        <v>0.04</v>
      </c>
      <c r="E16" s="1150" t="s">
        <v>79</v>
      </c>
      <c r="F16" s="1150">
        <v>1.5</v>
      </c>
      <c r="G16" s="1150" t="s">
        <v>93</v>
      </c>
      <c r="H16" s="1150">
        <v>3</v>
      </c>
      <c r="I16" s="1149">
        <f>D16*F16*H16</f>
        <v>0.18</v>
      </c>
      <c r="J16" s="105"/>
      <c r="K16" s="105"/>
      <c r="L16" s="105"/>
      <c r="M16" s="105"/>
      <c r="N16" s="105"/>
      <c r="O16" s="107"/>
    </row>
    <row r="17" spans="1:15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58">
        <f>SUM(I15:I16)</f>
        <v>0.34250000000000003</v>
      </c>
      <c r="J17" s="115"/>
      <c r="K17" s="115"/>
      <c r="L17" s="115"/>
      <c r="M17" s="115"/>
      <c r="N17" s="115"/>
      <c r="O17" s="107"/>
    </row>
    <row r="18" spans="1:15" thickBot="1" x14ac:dyDescent="0.35">
      <c r="A18" s="118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119"/>
      <c r="O18" s="120"/>
    </row>
  </sheetData>
  <hyperlinks>
    <hyperlink ref="B4" location="SU_A1200" display="SU_A1200"/>
    <hyperlink ref="G2" location="SU_A1200_BOM" display="Back to BOM"/>
  </hyperlinks>
  <pageMargins left="0.31496062992125984" right="0.31496062992125984" top="0.31496062992125984" bottom="0.39370078740157483" header="0.51181102362204722" footer="0.31496062992125984"/>
  <pageSetup paperSize="9" scale="73" fitToHeight="99" orientation="landscape" horizontalDpi="1200" verticalDpi="1200" r:id="rId1"/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I40" sqref="I40"/>
    </sheetView>
  </sheetViews>
  <sheetFormatPr baseColWidth="10" defaultColWidth="9.140625" defaultRowHeight="15" x14ac:dyDescent="0.25"/>
  <cols>
    <col min="1" max="1" width="9.140625" style="103"/>
    <col min="2" max="2" width="35.28515625" style="103" customWidth="1"/>
    <col min="3" max="3" width="45.85546875" style="103" customWidth="1"/>
    <col min="4" max="13" width="9.140625" style="103"/>
    <col min="14" max="14" width="13" style="103" bestFit="1" customWidth="1"/>
    <col min="15" max="15" width="5.28515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06" t="s">
        <v>0</v>
      </c>
      <c r="B2" s="104" t="s">
        <v>1</v>
      </c>
      <c r="C2" s="105"/>
      <c r="D2" s="105"/>
      <c r="E2" s="58" t="s">
        <v>2</v>
      </c>
      <c r="F2" s="105"/>
      <c r="G2" s="105"/>
      <c r="H2" s="105"/>
      <c r="I2" s="105"/>
      <c r="J2" s="306" t="s">
        <v>3</v>
      </c>
      <c r="K2" s="106">
        <v>81</v>
      </c>
      <c r="L2" s="105"/>
      <c r="M2" s="306" t="s">
        <v>4</v>
      </c>
      <c r="N2" s="59">
        <f>SU_A1300_pa+SU_A1300_m+SU_A1300_p+SU_A1300_f</f>
        <v>12.362038127225963</v>
      </c>
      <c r="O2" s="107"/>
    </row>
    <row r="3" spans="1:15" ht="14.45" x14ac:dyDescent="0.3">
      <c r="A3" s="306" t="s">
        <v>5</v>
      </c>
      <c r="B3" s="104" t="s">
        <v>106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306" t="s">
        <v>6</v>
      </c>
      <c r="N3" s="47">
        <v>2</v>
      </c>
      <c r="O3" s="107"/>
    </row>
    <row r="4" spans="1:15" ht="14.45" x14ac:dyDescent="0.3">
      <c r="A4" s="306" t="s">
        <v>7</v>
      </c>
      <c r="B4" s="129" t="s">
        <v>174</v>
      </c>
      <c r="C4" s="864"/>
      <c r="D4" s="105"/>
      <c r="E4" s="105"/>
      <c r="F4" s="105"/>
      <c r="G4" s="105"/>
      <c r="H4" s="105"/>
      <c r="I4" s="105"/>
      <c r="J4" s="357" t="s">
        <v>8</v>
      </c>
      <c r="K4" s="105"/>
      <c r="L4" s="105"/>
      <c r="M4" s="105"/>
      <c r="N4" s="105"/>
      <c r="O4" s="107"/>
    </row>
    <row r="5" spans="1:15" ht="14.45" x14ac:dyDescent="0.3">
      <c r="A5" s="306" t="s">
        <v>9</v>
      </c>
      <c r="B5" s="108" t="s">
        <v>532</v>
      </c>
      <c r="C5" s="105"/>
      <c r="D5" s="105"/>
      <c r="E5" s="105"/>
      <c r="F5" s="105"/>
      <c r="G5" s="105"/>
      <c r="H5" s="105"/>
      <c r="I5" s="105"/>
      <c r="J5" s="357" t="s">
        <v>10</v>
      </c>
      <c r="K5" s="105"/>
      <c r="L5" s="105"/>
      <c r="M5" s="306" t="s">
        <v>11</v>
      </c>
      <c r="N5" s="67">
        <f>N2*SU_A1300_q</f>
        <v>24.724076254451926</v>
      </c>
      <c r="O5" s="107"/>
    </row>
    <row r="6" spans="1:15" ht="14.45" x14ac:dyDescent="0.3">
      <c r="A6" s="306" t="s">
        <v>12</v>
      </c>
      <c r="B6" s="104" t="s">
        <v>13</v>
      </c>
      <c r="C6" s="105"/>
      <c r="D6" s="105"/>
      <c r="E6" s="105"/>
      <c r="F6" s="105"/>
      <c r="G6" s="105"/>
      <c r="H6" s="105"/>
      <c r="I6" s="105"/>
      <c r="J6" s="357" t="s">
        <v>14</v>
      </c>
      <c r="K6" s="105"/>
      <c r="L6" s="105"/>
      <c r="M6" s="105"/>
      <c r="N6" s="105"/>
      <c r="O6" s="107"/>
    </row>
    <row r="7" spans="1:15" ht="14.45" x14ac:dyDescent="0.3">
      <c r="A7" s="306" t="s">
        <v>15</v>
      </c>
      <c r="B7" s="104" t="s">
        <v>531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116"/>
      <c r="B8" s="105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317" t="s">
        <v>16</v>
      </c>
      <c r="B9" s="317" t="s">
        <v>17</v>
      </c>
      <c r="C9" s="317" t="s">
        <v>18</v>
      </c>
      <c r="D9" s="317" t="s">
        <v>19</v>
      </c>
      <c r="E9" s="317" t="s">
        <v>20</v>
      </c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39">
        <v>10</v>
      </c>
      <c r="B10" s="60" t="str">
        <f>+'SU 13001'!B5</f>
        <v>Steel cylinder for pushrod</v>
      </c>
      <c r="C10" s="167">
        <f>'SU 13001'!N2</f>
        <v>1.4513899941560895</v>
      </c>
      <c r="D10" s="840">
        <f>SU_13001_q</f>
        <v>1</v>
      </c>
      <c r="E10" s="167">
        <f>C10*D10</f>
        <v>1.4513899941560895</v>
      </c>
      <c r="F10" s="105"/>
      <c r="G10" s="105"/>
      <c r="H10" s="105"/>
      <c r="I10" s="105"/>
      <c r="J10" s="105"/>
      <c r="K10" s="105"/>
      <c r="L10" s="105"/>
      <c r="M10" s="105"/>
      <c r="N10" s="105"/>
      <c r="O10" s="107"/>
    </row>
    <row r="11" spans="1:15" ht="14.45" x14ac:dyDescent="0.3">
      <c r="A11" s="339">
        <v>20</v>
      </c>
      <c r="B11" s="992" t="str">
        <f>+'SU 13002'!B5</f>
        <v>Spacer</v>
      </c>
      <c r="C11" s="167">
        <f>'SU 13002'!N2</f>
        <v>0.36380753801370747</v>
      </c>
      <c r="D11" s="339">
        <f>SU_13002_q</f>
        <v>4</v>
      </c>
      <c r="E11" s="167">
        <f>C11*D11</f>
        <v>1.4552301520548299</v>
      </c>
      <c r="F11" s="129"/>
      <c r="G11" s="129"/>
      <c r="H11" s="129"/>
      <c r="I11" s="129"/>
      <c r="J11" s="129"/>
      <c r="K11" s="129"/>
      <c r="L11" s="129"/>
      <c r="M11" s="129"/>
      <c r="N11" s="129"/>
      <c r="O11" s="55"/>
    </row>
    <row r="12" spans="1:15" ht="14.45" x14ac:dyDescent="0.3">
      <c r="A12" s="116"/>
      <c r="B12" s="105"/>
      <c r="C12" s="105"/>
      <c r="D12" s="308" t="s">
        <v>20</v>
      </c>
      <c r="E12" s="307">
        <f>SUM(E10:E11)</f>
        <v>2.9066201462109191</v>
      </c>
      <c r="F12" s="129"/>
      <c r="G12" s="129"/>
      <c r="H12" s="129"/>
      <c r="I12" s="129"/>
      <c r="J12" s="129"/>
      <c r="K12" s="129"/>
      <c r="L12" s="129"/>
      <c r="M12" s="129"/>
      <c r="N12" s="129"/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06" t="s">
        <v>16</v>
      </c>
      <c r="B14" s="306" t="s">
        <v>38</v>
      </c>
      <c r="C14" s="306" t="s">
        <v>22</v>
      </c>
      <c r="D14" s="306" t="s">
        <v>23</v>
      </c>
      <c r="E14" s="306" t="s">
        <v>31</v>
      </c>
      <c r="F14" s="306" t="s">
        <v>32</v>
      </c>
      <c r="G14" s="306" t="s">
        <v>33</v>
      </c>
      <c r="H14" s="306" t="s">
        <v>34</v>
      </c>
      <c r="I14" s="306" t="s">
        <v>39</v>
      </c>
      <c r="J14" s="306" t="s">
        <v>40</v>
      </c>
      <c r="K14" s="306" t="s">
        <v>41</v>
      </c>
      <c r="L14" s="306" t="s">
        <v>42</v>
      </c>
      <c r="M14" s="306" t="s">
        <v>19</v>
      </c>
      <c r="N14" s="306" t="s">
        <v>20</v>
      </c>
      <c r="O14" s="107"/>
    </row>
    <row r="15" spans="1:15" ht="14.45" x14ac:dyDescent="0.3">
      <c r="A15" s="134">
        <v>10</v>
      </c>
      <c r="B15" s="190" t="s">
        <v>127</v>
      </c>
      <c r="C15" s="190" t="s">
        <v>128</v>
      </c>
      <c r="D15" s="178">
        <f>0.02*E15^2+1.22</f>
        <v>2.5</v>
      </c>
      <c r="E15" s="190">
        <v>8</v>
      </c>
      <c r="F15" s="190" t="s">
        <v>35</v>
      </c>
      <c r="G15" s="190"/>
      <c r="H15" s="191"/>
      <c r="I15" s="192" t="s">
        <v>129</v>
      </c>
      <c r="J15" s="193"/>
      <c r="K15" s="191"/>
      <c r="L15" s="191"/>
      <c r="M15" s="193">
        <v>1</v>
      </c>
      <c r="N15" s="179">
        <f>D15*M15</f>
        <v>2.5</v>
      </c>
      <c r="O15" s="107"/>
    </row>
    <row r="16" spans="1:15" s="113" customFormat="1" ht="14.45" x14ac:dyDescent="0.3">
      <c r="A16" s="134">
        <v>20</v>
      </c>
      <c r="B16" s="190" t="s">
        <v>127</v>
      </c>
      <c r="C16" s="190" t="s">
        <v>130</v>
      </c>
      <c r="D16" s="178">
        <f>0.02*E16^2+1.22</f>
        <v>2.5</v>
      </c>
      <c r="E16" s="190">
        <v>8</v>
      </c>
      <c r="F16" s="190" t="s">
        <v>35</v>
      </c>
      <c r="G16" s="190"/>
      <c r="H16" s="191"/>
      <c r="I16" s="194" t="s">
        <v>129</v>
      </c>
      <c r="J16" s="193"/>
      <c r="K16" s="191"/>
      <c r="L16" s="195"/>
      <c r="M16" s="193">
        <v>1</v>
      </c>
      <c r="N16" s="179">
        <f>D16*M16</f>
        <v>2.5</v>
      </c>
      <c r="O16" s="112"/>
    </row>
    <row r="17" spans="1:15" ht="14.45" x14ac:dyDescent="0.3">
      <c r="A17" s="114"/>
      <c r="B17" s="991"/>
      <c r="C17" s="115"/>
      <c r="D17" s="115"/>
      <c r="E17" s="115"/>
      <c r="F17" s="115"/>
      <c r="G17" s="115"/>
      <c r="H17" s="115"/>
      <c r="I17" s="115"/>
      <c r="J17" s="115"/>
      <c r="K17" s="115"/>
      <c r="L17" s="115"/>
      <c r="M17" s="306" t="s">
        <v>20</v>
      </c>
      <c r="N17" s="318">
        <f>SUM(N15:N16)</f>
        <v>5</v>
      </c>
      <c r="O17" s="107"/>
    </row>
    <row r="18" spans="1:15" ht="14.45" x14ac:dyDescent="0.3">
      <c r="A18" s="116"/>
      <c r="B18" s="105"/>
      <c r="C18" s="105"/>
      <c r="D18" s="105"/>
      <c r="E18" s="105"/>
      <c r="F18" s="105"/>
      <c r="G18" s="105"/>
      <c r="H18" s="105"/>
      <c r="I18" s="105"/>
      <c r="J18" s="105"/>
      <c r="K18" s="105"/>
      <c r="L18" s="105"/>
      <c r="M18" s="105"/>
      <c r="N18" s="105"/>
      <c r="O18" s="107"/>
    </row>
    <row r="19" spans="1:15" s="124" customFormat="1" ht="14.45" x14ac:dyDescent="0.3">
      <c r="A19" s="306" t="s">
        <v>16</v>
      </c>
      <c r="B19" s="306" t="s">
        <v>21</v>
      </c>
      <c r="C19" s="306" t="s">
        <v>22</v>
      </c>
      <c r="D19" s="306" t="s">
        <v>23</v>
      </c>
      <c r="E19" s="306" t="s">
        <v>24</v>
      </c>
      <c r="F19" s="306" t="s">
        <v>19</v>
      </c>
      <c r="G19" s="306" t="s">
        <v>25</v>
      </c>
      <c r="H19" s="306" t="s">
        <v>26</v>
      </c>
      <c r="I19" s="306" t="s">
        <v>20</v>
      </c>
      <c r="J19" s="115"/>
      <c r="K19" s="115"/>
      <c r="L19" s="115"/>
      <c r="M19" s="115"/>
      <c r="N19" s="115"/>
      <c r="O19" s="123"/>
    </row>
    <row r="20" spans="1:15" ht="14.45" x14ac:dyDescent="0.3">
      <c r="A20" s="134">
        <v>10</v>
      </c>
      <c r="B20" s="198" t="s">
        <v>101</v>
      </c>
      <c r="C20" s="199" t="s">
        <v>134</v>
      </c>
      <c r="D20" s="46">
        <v>0.12</v>
      </c>
      <c r="E20" s="134" t="s">
        <v>72</v>
      </c>
      <c r="F20" s="134">
        <v>1</v>
      </c>
      <c r="G20" s="134"/>
      <c r="H20" s="134">
        <v>1</v>
      </c>
      <c r="I20" s="46">
        <f t="shared" ref="I20:I32" si="0">D20*F20*H20</f>
        <v>0.12</v>
      </c>
      <c r="J20" s="105"/>
      <c r="K20" s="105"/>
      <c r="L20" s="105"/>
      <c r="M20" s="105"/>
      <c r="N20" s="105"/>
      <c r="O20" s="107"/>
    </row>
    <row r="21" spans="1:15" ht="14.45" x14ac:dyDescent="0.3">
      <c r="A21" s="134">
        <v>20</v>
      </c>
      <c r="B21" s="198" t="s">
        <v>135</v>
      </c>
      <c r="C21" s="199" t="s">
        <v>530</v>
      </c>
      <c r="D21" s="46">
        <v>0.5</v>
      </c>
      <c r="E21" s="200" t="s">
        <v>72</v>
      </c>
      <c r="F21" s="134">
        <v>1</v>
      </c>
      <c r="G21" s="134"/>
      <c r="H21" s="134">
        <v>1</v>
      </c>
      <c r="I21" s="46">
        <f t="shared" si="0"/>
        <v>0.5</v>
      </c>
      <c r="J21" s="105"/>
      <c r="K21" s="105"/>
      <c r="L21" s="105"/>
      <c r="M21" s="105"/>
      <c r="N21" s="105"/>
      <c r="O21" s="107"/>
    </row>
    <row r="22" spans="1:15" ht="14.45" x14ac:dyDescent="0.3">
      <c r="A22" s="134">
        <v>30</v>
      </c>
      <c r="B22" s="198" t="s">
        <v>114</v>
      </c>
      <c r="C22" s="199" t="s">
        <v>136</v>
      </c>
      <c r="D22" s="46">
        <v>1.5</v>
      </c>
      <c r="E22" s="134" t="s">
        <v>72</v>
      </c>
      <c r="F22" s="134">
        <v>1</v>
      </c>
      <c r="G22" s="134"/>
      <c r="H22" s="134">
        <v>1</v>
      </c>
      <c r="I22" s="46">
        <f t="shared" si="0"/>
        <v>1.5</v>
      </c>
      <c r="J22" s="105"/>
      <c r="K22" s="105"/>
      <c r="L22" s="105"/>
      <c r="M22" s="105"/>
      <c r="N22" s="105"/>
      <c r="O22" s="107"/>
    </row>
    <row r="23" spans="1:15" s="149" customFormat="1" ht="14.45" x14ac:dyDescent="0.3">
      <c r="A23" s="134">
        <v>40</v>
      </c>
      <c r="B23" s="198" t="s">
        <v>137</v>
      </c>
      <c r="C23" s="199" t="s">
        <v>136</v>
      </c>
      <c r="D23" s="46">
        <v>0.25</v>
      </c>
      <c r="E23" s="134" t="s">
        <v>72</v>
      </c>
      <c r="F23" s="134">
        <v>1</v>
      </c>
      <c r="G23" s="134"/>
      <c r="H23" s="134">
        <v>1</v>
      </c>
      <c r="I23" s="46">
        <f t="shared" si="0"/>
        <v>0.25</v>
      </c>
      <c r="J23" s="129"/>
      <c r="K23" s="129"/>
      <c r="L23" s="129"/>
      <c r="M23" s="129"/>
      <c r="N23" s="129"/>
      <c r="O23" s="148"/>
    </row>
    <row r="24" spans="1:15" s="124" customFormat="1" ht="14.45" x14ac:dyDescent="0.3">
      <c r="A24" s="134">
        <v>50</v>
      </c>
      <c r="B24" s="199" t="s">
        <v>97</v>
      </c>
      <c r="C24" s="199" t="s">
        <v>138</v>
      </c>
      <c r="D24" s="201">
        <v>0.06</v>
      </c>
      <c r="E24" s="202" t="s">
        <v>72</v>
      </c>
      <c r="F24" s="134">
        <v>1</v>
      </c>
      <c r="G24" s="202"/>
      <c r="H24" s="202">
        <v>1</v>
      </c>
      <c r="I24" s="46">
        <f t="shared" si="0"/>
        <v>0.06</v>
      </c>
      <c r="J24" s="129"/>
      <c r="K24" s="129"/>
      <c r="L24" s="129"/>
      <c r="M24" s="129"/>
      <c r="N24" s="129"/>
      <c r="O24" s="123"/>
    </row>
    <row r="25" spans="1:15" s="124" customFormat="1" ht="14.45" x14ac:dyDescent="0.3">
      <c r="A25" s="236">
        <v>60</v>
      </c>
      <c r="B25" s="199" t="s">
        <v>97</v>
      </c>
      <c r="C25" s="199" t="s">
        <v>139</v>
      </c>
      <c r="D25" s="201">
        <v>0.06</v>
      </c>
      <c r="E25" s="202" t="s">
        <v>72</v>
      </c>
      <c r="F25" s="134">
        <v>1</v>
      </c>
      <c r="G25" s="202"/>
      <c r="H25" s="202">
        <v>1</v>
      </c>
      <c r="I25" s="46">
        <f t="shared" si="0"/>
        <v>0.06</v>
      </c>
      <c r="J25" s="129"/>
      <c r="K25" s="129"/>
      <c r="L25" s="129"/>
      <c r="M25" s="129"/>
      <c r="N25" s="129"/>
      <c r="O25" s="123"/>
    </row>
    <row r="26" spans="1:15" s="149" customFormat="1" ht="14.45" customHeight="1" x14ac:dyDescent="0.3">
      <c r="A26" s="236">
        <f t="shared" ref="A26:A32" si="1">A25+10</f>
        <v>70</v>
      </c>
      <c r="B26" s="198" t="s">
        <v>101</v>
      </c>
      <c r="C26" s="199" t="s">
        <v>529</v>
      </c>
      <c r="D26" s="201">
        <v>0.12</v>
      </c>
      <c r="E26" s="202" t="s">
        <v>72</v>
      </c>
      <c r="F26" s="134">
        <v>1</v>
      </c>
      <c r="G26" s="202"/>
      <c r="H26" s="202">
        <v>1</v>
      </c>
      <c r="I26" s="46">
        <f t="shared" si="0"/>
        <v>0.12</v>
      </c>
      <c r="J26" s="129"/>
      <c r="K26" s="129"/>
      <c r="L26" s="129"/>
      <c r="M26" s="129"/>
      <c r="N26" s="129"/>
      <c r="O26" s="148"/>
    </row>
    <row r="27" spans="1:15" s="149" customFormat="1" ht="14.45" customHeight="1" x14ac:dyDescent="0.3">
      <c r="A27" s="236">
        <f t="shared" si="1"/>
        <v>80</v>
      </c>
      <c r="B27" s="202" t="s">
        <v>97</v>
      </c>
      <c r="C27" s="199" t="s">
        <v>140</v>
      </c>
      <c r="D27" s="201">
        <v>0.06</v>
      </c>
      <c r="E27" s="202" t="s">
        <v>72</v>
      </c>
      <c r="F27" s="134">
        <v>1</v>
      </c>
      <c r="G27" s="202"/>
      <c r="H27" s="202">
        <v>1</v>
      </c>
      <c r="I27" s="46">
        <f t="shared" si="0"/>
        <v>0.06</v>
      </c>
      <c r="J27" s="129"/>
      <c r="K27" s="129"/>
      <c r="L27" s="129"/>
      <c r="M27" s="129"/>
      <c r="N27" s="129"/>
      <c r="O27" s="148"/>
    </row>
    <row r="28" spans="1:15" s="149" customFormat="1" ht="14.45" customHeight="1" x14ac:dyDescent="0.3">
      <c r="A28" s="236">
        <f t="shared" si="1"/>
        <v>90</v>
      </c>
      <c r="B28" s="202" t="s">
        <v>97</v>
      </c>
      <c r="C28" s="199" t="s">
        <v>141</v>
      </c>
      <c r="D28" s="201">
        <v>0.06</v>
      </c>
      <c r="E28" s="202" t="s">
        <v>72</v>
      </c>
      <c r="F28" s="134">
        <v>1</v>
      </c>
      <c r="G28" s="202"/>
      <c r="H28" s="202">
        <v>1</v>
      </c>
      <c r="I28" s="46">
        <f t="shared" si="0"/>
        <v>0.06</v>
      </c>
      <c r="J28" s="129"/>
      <c r="K28" s="129"/>
      <c r="L28" s="129"/>
      <c r="M28" s="129"/>
      <c r="N28" s="129"/>
      <c r="O28" s="148"/>
    </row>
    <row r="29" spans="1:15" s="149" customFormat="1" ht="14.45" customHeight="1" x14ac:dyDescent="0.3">
      <c r="A29" s="236">
        <f t="shared" si="1"/>
        <v>100</v>
      </c>
      <c r="B29" s="198" t="s">
        <v>101</v>
      </c>
      <c r="C29" s="199" t="s">
        <v>528</v>
      </c>
      <c r="D29" s="201">
        <v>0.12</v>
      </c>
      <c r="E29" s="202" t="s">
        <v>72</v>
      </c>
      <c r="F29" s="134">
        <v>1</v>
      </c>
      <c r="G29" s="202"/>
      <c r="H29" s="202">
        <v>1</v>
      </c>
      <c r="I29" s="46">
        <f t="shared" si="0"/>
        <v>0.12</v>
      </c>
      <c r="J29" s="129"/>
      <c r="K29" s="129"/>
      <c r="L29" s="129"/>
      <c r="M29" s="129"/>
      <c r="N29" s="129"/>
      <c r="O29" s="148"/>
    </row>
    <row r="30" spans="1:15" s="149" customFormat="1" ht="14.45" customHeight="1" x14ac:dyDescent="0.3">
      <c r="A30" s="236">
        <f t="shared" si="1"/>
        <v>110</v>
      </c>
      <c r="B30" s="198" t="s">
        <v>101</v>
      </c>
      <c r="C30" s="199" t="s">
        <v>142</v>
      </c>
      <c r="D30" s="201">
        <v>0.12</v>
      </c>
      <c r="E30" s="202" t="s">
        <v>72</v>
      </c>
      <c r="F30" s="134">
        <v>1</v>
      </c>
      <c r="G30" s="202"/>
      <c r="H30" s="202">
        <v>1</v>
      </c>
      <c r="I30" s="46">
        <f t="shared" si="0"/>
        <v>0.12</v>
      </c>
      <c r="J30" s="129"/>
      <c r="K30" s="129"/>
      <c r="L30" s="129"/>
      <c r="M30" s="129"/>
      <c r="N30" s="129"/>
      <c r="O30" s="148"/>
    </row>
    <row r="31" spans="1:15" s="149" customFormat="1" ht="14.45" customHeight="1" x14ac:dyDescent="0.3">
      <c r="A31" s="236">
        <f t="shared" si="1"/>
        <v>120</v>
      </c>
      <c r="B31" s="198" t="s">
        <v>28</v>
      </c>
      <c r="C31" s="199" t="s">
        <v>136</v>
      </c>
      <c r="D31" s="201">
        <v>0.75</v>
      </c>
      <c r="E31" s="202" t="s">
        <v>72</v>
      </c>
      <c r="F31" s="134">
        <v>1</v>
      </c>
      <c r="G31" s="202"/>
      <c r="H31" s="202">
        <v>1</v>
      </c>
      <c r="I31" s="46">
        <f t="shared" si="0"/>
        <v>0.75</v>
      </c>
      <c r="J31" s="129"/>
      <c r="K31" s="129"/>
      <c r="L31" s="129"/>
      <c r="M31" s="129"/>
      <c r="N31" s="129"/>
      <c r="O31" s="148"/>
    </row>
    <row r="32" spans="1:15" s="149" customFormat="1" ht="14.45" customHeight="1" x14ac:dyDescent="0.25">
      <c r="A32" s="236">
        <f t="shared" si="1"/>
        <v>130</v>
      </c>
      <c r="B32" s="198" t="s">
        <v>137</v>
      </c>
      <c r="C32" s="199" t="s">
        <v>136</v>
      </c>
      <c r="D32" s="201">
        <v>0.25</v>
      </c>
      <c r="E32" s="202" t="s">
        <v>72</v>
      </c>
      <c r="F32" s="134">
        <v>1</v>
      </c>
      <c r="G32" s="202"/>
      <c r="H32" s="202">
        <v>1</v>
      </c>
      <c r="I32" s="46">
        <f t="shared" si="0"/>
        <v>0.25</v>
      </c>
      <c r="J32" s="129"/>
      <c r="K32" s="129"/>
      <c r="L32" s="129"/>
      <c r="M32" s="129"/>
      <c r="N32" s="129"/>
      <c r="O32" s="148"/>
    </row>
    <row r="33" spans="1:15" x14ac:dyDescent="0.25">
      <c r="A33" s="114"/>
      <c r="B33" s="115"/>
      <c r="C33" s="115"/>
      <c r="D33" s="115"/>
      <c r="E33" s="115"/>
      <c r="F33" s="115"/>
      <c r="G33" s="115"/>
      <c r="H33" s="319" t="s">
        <v>20</v>
      </c>
      <c r="I33" s="318">
        <f>SUM(I20:I32)</f>
        <v>3.9700000000000006</v>
      </c>
      <c r="J33" s="105"/>
      <c r="K33" s="105"/>
      <c r="L33" s="105"/>
      <c r="M33" s="105"/>
      <c r="N33" s="105"/>
      <c r="O33" s="107"/>
    </row>
    <row r="34" spans="1:15" x14ac:dyDescent="0.25">
      <c r="A34" s="116"/>
      <c r="B34" s="105"/>
      <c r="C34" s="105"/>
      <c r="D34" s="105"/>
      <c r="E34" s="105"/>
      <c r="F34" s="105"/>
      <c r="G34" s="105"/>
      <c r="H34" s="105"/>
      <c r="I34" s="105"/>
      <c r="J34" s="105"/>
      <c r="K34" s="105"/>
      <c r="L34" s="105"/>
      <c r="M34" s="105"/>
      <c r="N34" s="105"/>
      <c r="O34" s="107"/>
    </row>
    <row r="35" spans="1:15" x14ac:dyDescent="0.25">
      <c r="A35" s="306" t="s">
        <v>16</v>
      </c>
      <c r="B35" s="306" t="s">
        <v>30</v>
      </c>
      <c r="C35" s="306" t="s">
        <v>22</v>
      </c>
      <c r="D35" s="306" t="s">
        <v>23</v>
      </c>
      <c r="E35" s="306" t="s">
        <v>31</v>
      </c>
      <c r="F35" s="306" t="s">
        <v>32</v>
      </c>
      <c r="G35" s="306" t="s">
        <v>33</v>
      </c>
      <c r="H35" s="306" t="s">
        <v>34</v>
      </c>
      <c r="I35" s="306" t="s">
        <v>19</v>
      </c>
      <c r="J35" s="306" t="s">
        <v>20</v>
      </c>
      <c r="K35" s="105"/>
      <c r="L35" s="105"/>
      <c r="M35" s="105"/>
      <c r="N35" s="105"/>
      <c r="O35" s="107"/>
    </row>
    <row r="36" spans="1:15" x14ac:dyDescent="0.25">
      <c r="A36" s="134">
        <v>10</v>
      </c>
      <c r="B36" s="134" t="s">
        <v>71</v>
      </c>
      <c r="C36" s="134" t="s">
        <v>527</v>
      </c>
      <c r="D36" s="137">
        <f>0.8/105154*E36^2*G36*SQRT(G36)+0.003*EXP(0.319*E36)</f>
        <v>0.18547981844542938</v>
      </c>
      <c r="E36" s="49">
        <v>8</v>
      </c>
      <c r="F36" s="49" t="s">
        <v>35</v>
      </c>
      <c r="G36" s="49">
        <v>45</v>
      </c>
      <c r="H36" s="49" t="s">
        <v>35</v>
      </c>
      <c r="I36" s="47">
        <v>1</v>
      </c>
      <c r="J36" s="46">
        <f>D36*I36</f>
        <v>0.18547981844542938</v>
      </c>
      <c r="K36" s="105"/>
      <c r="L36" s="105"/>
      <c r="M36" s="105"/>
      <c r="N36" s="105"/>
      <c r="O36" s="107"/>
    </row>
    <row r="37" spans="1:15" x14ac:dyDescent="0.25">
      <c r="A37" s="134">
        <f>A36+10</f>
        <v>20</v>
      </c>
      <c r="B37" s="134" t="s">
        <v>71</v>
      </c>
      <c r="C37" s="134" t="s">
        <v>526</v>
      </c>
      <c r="D37" s="137">
        <f>0.8/105154*E37^2*G37*SQRT(G37)+0.003*EXP(0.319*E37)</f>
        <v>0.18547981844542938</v>
      </c>
      <c r="E37" s="49">
        <v>8</v>
      </c>
      <c r="F37" s="49" t="s">
        <v>35</v>
      </c>
      <c r="G37" s="49">
        <v>45</v>
      </c>
      <c r="H37" s="49" t="s">
        <v>35</v>
      </c>
      <c r="I37" s="47">
        <v>1</v>
      </c>
      <c r="J37" s="46">
        <f>D37*I37</f>
        <v>0.18547981844542938</v>
      </c>
      <c r="K37" s="105"/>
      <c r="L37" s="105"/>
      <c r="M37" s="105"/>
      <c r="N37" s="105"/>
      <c r="O37" s="107"/>
    </row>
    <row r="38" spans="1:15" x14ac:dyDescent="0.25">
      <c r="A38" s="134">
        <f>A37+10</f>
        <v>30</v>
      </c>
      <c r="B38" s="134" t="s">
        <v>37</v>
      </c>
      <c r="C38" s="134"/>
      <c r="D38" s="137">
        <v>0.01</v>
      </c>
      <c r="E38" s="134">
        <v>8</v>
      </c>
      <c r="F38" s="48" t="s">
        <v>72</v>
      </c>
      <c r="G38" s="134"/>
      <c r="H38" s="134"/>
      <c r="I38" s="47">
        <v>4</v>
      </c>
      <c r="J38" s="46">
        <f>D38*I38</f>
        <v>0.04</v>
      </c>
      <c r="K38" s="105"/>
      <c r="L38" s="105"/>
      <c r="M38" s="105"/>
      <c r="N38" s="105"/>
      <c r="O38" s="107"/>
    </row>
    <row r="39" spans="1:15" x14ac:dyDescent="0.25">
      <c r="A39" s="134">
        <f>A38+10</f>
        <v>40</v>
      </c>
      <c r="B39" s="134" t="s">
        <v>36</v>
      </c>
      <c r="C39" s="134" t="s">
        <v>143</v>
      </c>
      <c r="D39" s="137">
        <f>0.009*EXP(0.2*E39)</f>
        <v>2.9881052304628931E-2</v>
      </c>
      <c r="E39" s="134">
        <v>6</v>
      </c>
      <c r="F39" s="48" t="s">
        <v>35</v>
      </c>
      <c r="G39" s="134"/>
      <c r="H39" s="134"/>
      <c r="I39" s="47">
        <v>1</v>
      </c>
      <c r="J39" s="46">
        <f>D39*I39</f>
        <v>2.9881052304628931E-2</v>
      </c>
      <c r="K39" s="105"/>
      <c r="L39" s="105"/>
      <c r="M39" s="105"/>
      <c r="N39" s="105"/>
      <c r="O39" s="107"/>
    </row>
    <row r="40" spans="1:15" x14ac:dyDescent="0.25">
      <c r="A40" s="134">
        <f>A39+10</f>
        <v>50</v>
      </c>
      <c r="B40" s="134" t="s">
        <v>36</v>
      </c>
      <c r="C40" s="134" t="s">
        <v>144</v>
      </c>
      <c r="D40" s="137">
        <f>0.009*EXP(0.2*E40)</f>
        <v>4.4577291819556032E-2</v>
      </c>
      <c r="E40" s="134">
        <v>8</v>
      </c>
      <c r="F40" s="48" t="s">
        <v>35</v>
      </c>
      <c r="G40" s="134"/>
      <c r="H40" s="134"/>
      <c r="I40" s="47">
        <v>1</v>
      </c>
      <c r="J40" s="46">
        <f>D40*I40</f>
        <v>4.4577291819556032E-2</v>
      </c>
      <c r="K40" s="105"/>
      <c r="L40" s="105"/>
      <c r="M40" s="105"/>
      <c r="N40" s="105"/>
      <c r="O40" s="107"/>
    </row>
    <row r="41" spans="1:15" x14ac:dyDescent="0.25">
      <c r="A41" s="114"/>
      <c r="B41" s="115"/>
      <c r="C41" s="115"/>
      <c r="D41" s="115"/>
      <c r="E41" s="115"/>
      <c r="F41" s="115"/>
      <c r="G41" s="115"/>
      <c r="H41" s="115"/>
      <c r="I41" s="319" t="s">
        <v>20</v>
      </c>
      <c r="J41" s="318">
        <f>SUM(J36:J40)</f>
        <v>0.48541798101504374</v>
      </c>
      <c r="K41" s="105"/>
      <c r="L41" s="105"/>
      <c r="M41" s="105"/>
      <c r="N41" s="105"/>
      <c r="O41" s="107"/>
    </row>
    <row r="42" spans="1:15" x14ac:dyDescent="0.25">
      <c r="A42" s="116"/>
      <c r="B42" s="105"/>
      <c r="C42" s="105"/>
      <c r="D42" s="105"/>
      <c r="E42" s="105"/>
      <c r="F42" s="105"/>
      <c r="G42" s="105"/>
      <c r="H42" s="105"/>
      <c r="I42" s="105"/>
      <c r="J42" s="105"/>
      <c r="K42" s="105"/>
      <c r="L42" s="105"/>
      <c r="M42" s="105"/>
      <c r="N42" s="105"/>
      <c r="O42" s="107"/>
    </row>
    <row r="43" spans="1:15" ht="15.75" thickBot="1" x14ac:dyDescent="0.3">
      <c r="A43" s="118"/>
      <c r="B43" s="119"/>
      <c r="C43" s="119"/>
      <c r="D43" s="119"/>
      <c r="E43" s="119"/>
      <c r="F43" s="119"/>
      <c r="G43" s="119"/>
      <c r="H43" s="119"/>
      <c r="I43" s="119"/>
      <c r="J43" s="119"/>
      <c r="K43" s="119"/>
      <c r="L43" s="119"/>
      <c r="M43" s="119"/>
      <c r="N43" s="119"/>
      <c r="O43" s="120"/>
    </row>
    <row r="44" spans="1:15" x14ac:dyDescent="0.25">
      <c r="A44" s="105"/>
      <c r="B44" s="105"/>
      <c r="C44" s="105"/>
      <c r="D44" s="105"/>
      <c r="E44" s="105"/>
      <c r="F44" s="105"/>
      <c r="G44" s="105"/>
      <c r="H44" s="105"/>
      <c r="I44" s="105"/>
      <c r="J44" s="105"/>
      <c r="K44" s="105"/>
      <c r="L44" s="105"/>
      <c r="M44" s="105"/>
      <c r="N44" s="105"/>
    </row>
  </sheetData>
  <hyperlinks>
    <hyperlink ref="B11" location="SU_13002" display="SU_13002"/>
    <hyperlink ref="B10" location="SU_13001" display="SU_13001"/>
    <hyperlink ref="E2" location="SU_A1300_BOM" display="Back to BOM"/>
  </hyperlinks>
  <pageMargins left="0.31496062992125984" right="0.31496062992125984" top="0.31496062992125984" bottom="0.39370078740157483" header="0.51181102362204722" footer="0.31496062992125984"/>
  <pageSetup paperSize="9" scale="71" firstPageNumber="0" fitToHeight="99" orientation="landscape" horizontalDpi="1200" verticalDpi="1200" r:id="rId1"/>
  <rowBreaks count="1" manualBreakCount="1">
    <brk id="43" max="16383" man="1"/>
  </rowBreaks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83"/>
  <sheetViews>
    <sheetView zoomScale="70" zoomScaleNormal="70" zoomScalePageLayoutView="70" workbookViewId="0">
      <selection activeCell="A15" sqref="A15:I19"/>
    </sheetView>
  </sheetViews>
  <sheetFormatPr baseColWidth="10" defaultColWidth="11.5703125" defaultRowHeight="15" x14ac:dyDescent="0.25"/>
  <cols>
    <col min="1" max="1" width="11.5703125" style="103"/>
    <col min="2" max="2" width="31.85546875" style="103" customWidth="1"/>
    <col min="3" max="3" width="28.7109375" style="103" customWidth="1"/>
    <col min="4" max="6" width="11.5703125" style="103"/>
    <col min="7" max="7" width="40.28515625" style="103" customWidth="1"/>
    <col min="8" max="8" width="11.5703125" style="103"/>
    <col min="9" max="9" width="32.85546875" style="103" customWidth="1"/>
    <col min="10" max="10" width="13.5703125" style="103" customWidth="1"/>
    <col min="11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1136" t="s">
        <v>0</v>
      </c>
      <c r="B2" s="104" t="s">
        <v>1</v>
      </c>
      <c r="C2" s="204"/>
      <c r="D2" s="204"/>
      <c r="E2" s="204"/>
      <c r="F2" s="58" t="s">
        <v>2</v>
      </c>
      <c r="G2" s="204"/>
      <c r="H2" s="204"/>
      <c r="I2" s="204"/>
      <c r="J2" s="1135" t="s">
        <v>3</v>
      </c>
      <c r="K2" s="1134">
        <v>81</v>
      </c>
      <c r="L2" s="204"/>
      <c r="M2" s="1132" t="s">
        <v>18</v>
      </c>
      <c r="N2" s="1131">
        <f>SU_13001_m+SU_13001_p</f>
        <v>1.4513899941560895</v>
      </c>
      <c r="O2" s="128"/>
    </row>
    <row r="3" spans="1:15" ht="14.45" x14ac:dyDescent="0.3">
      <c r="A3" s="1129" t="s">
        <v>5</v>
      </c>
      <c r="B3" s="104" t="str">
        <f>'SU A1300'!B3</f>
        <v>Suspension &amp; Shocks</v>
      </c>
      <c r="C3" s="204"/>
      <c r="D3" s="1132" t="s">
        <v>8</v>
      </c>
      <c r="E3" s="58" t="s">
        <v>84</v>
      </c>
      <c r="F3" s="204"/>
      <c r="G3" s="204"/>
      <c r="H3" s="204"/>
      <c r="I3" s="204"/>
      <c r="J3" s="204"/>
      <c r="K3" s="204"/>
      <c r="L3" s="204"/>
      <c r="M3" s="1130" t="s">
        <v>6</v>
      </c>
      <c r="N3" s="1133">
        <v>1</v>
      </c>
      <c r="O3" s="128"/>
    </row>
    <row r="4" spans="1:15" ht="14.45" x14ac:dyDescent="0.3">
      <c r="A4" s="1129" t="s">
        <v>7</v>
      </c>
      <c r="B4" s="58" t="str">
        <f>'SU A1300'!B4</f>
        <v>Rear Pushrod</v>
      </c>
      <c r="C4" s="204"/>
      <c r="D4" s="1130" t="s">
        <v>10</v>
      </c>
      <c r="E4" s="204"/>
      <c r="F4" s="204"/>
      <c r="G4" s="204"/>
      <c r="H4" s="204"/>
      <c r="I4" s="204"/>
      <c r="J4" s="1132" t="s">
        <v>8</v>
      </c>
      <c r="K4" s="204"/>
      <c r="L4" s="204"/>
      <c r="M4" s="204"/>
      <c r="N4" s="204"/>
      <c r="O4" s="128"/>
    </row>
    <row r="5" spans="1:15" ht="14.45" x14ac:dyDescent="0.3">
      <c r="A5" s="1129" t="s">
        <v>17</v>
      </c>
      <c r="B5" s="889" t="s">
        <v>537</v>
      </c>
      <c r="C5" s="204"/>
      <c r="D5" s="1130" t="s">
        <v>14</v>
      </c>
      <c r="E5" s="204"/>
      <c r="F5" s="204"/>
      <c r="G5" s="204"/>
      <c r="H5" s="204"/>
      <c r="I5" s="204"/>
      <c r="J5" s="1130" t="s">
        <v>10</v>
      </c>
      <c r="K5" s="204"/>
      <c r="L5" s="204"/>
      <c r="M5" s="1132" t="s">
        <v>11</v>
      </c>
      <c r="N5" s="1131">
        <f>N2*SU_13001_q</f>
        <v>1.4513899941560895</v>
      </c>
      <c r="O5" s="128"/>
    </row>
    <row r="6" spans="1:15" ht="14.45" x14ac:dyDescent="0.3">
      <c r="A6" s="1129" t="s">
        <v>9</v>
      </c>
      <c r="B6" s="105" t="s">
        <v>536</v>
      </c>
      <c r="C6" s="204"/>
      <c r="D6" s="204"/>
      <c r="E6" s="204"/>
      <c r="F6" s="204"/>
      <c r="G6" s="204"/>
      <c r="H6" s="204"/>
      <c r="I6" s="204"/>
      <c r="J6" s="1130" t="s">
        <v>14</v>
      </c>
      <c r="K6" s="204"/>
      <c r="L6" s="204"/>
      <c r="M6" s="204"/>
      <c r="N6" s="204"/>
      <c r="O6" s="128"/>
    </row>
    <row r="7" spans="1:15" ht="14.45" x14ac:dyDescent="0.3">
      <c r="A7" s="1129" t="s">
        <v>12</v>
      </c>
      <c r="B7" s="104" t="s">
        <v>13</v>
      </c>
      <c r="C7" s="204"/>
      <c r="D7" s="204"/>
      <c r="E7" s="204"/>
      <c r="F7" s="204"/>
      <c r="G7" s="204"/>
      <c r="H7" s="204"/>
      <c r="I7" s="204"/>
      <c r="J7" s="204"/>
      <c r="K7" s="204"/>
      <c r="L7" s="204"/>
      <c r="M7" s="204"/>
      <c r="N7" s="204"/>
      <c r="O7" s="128"/>
    </row>
    <row r="8" spans="1:15" ht="14.45" x14ac:dyDescent="0.3">
      <c r="A8" s="1129" t="s">
        <v>15</v>
      </c>
      <c r="B8" s="104"/>
      <c r="C8" s="204"/>
      <c r="D8" s="204"/>
      <c r="E8" s="204"/>
      <c r="F8" s="204"/>
      <c r="G8" s="204"/>
      <c r="H8" s="204"/>
      <c r="I8" s="204"/>
      <c r="J8" s="204"/>
      <c r="K8" s="204"/>
      <c r="L8" s="204"/>
      <c r="M8" s="204"/>
      <c r="N8" s="204"/>
      <c r="O8" s="128"/>
    </row>
    <row r="9" spans="1:15" ht="14.45" x14ac:dyDescent="0.3">
      <c r="A9" s="1118"/>
      <c r="B9" s="204"/>
      <c r="C9" s="204"/>
      <c r="D9" s="204"/>
      <c r="E9" s="204"/>
      <c r="F9" s="204"/>
      <c r="G9" s="204"/>
      <c r="H9" s="204"/>
      <c r="I9" s="204"/>
      <c r="J9" s="204"/>
      <c r="K9" s="204"/>
      <c r="L9" s="204"/>
      <c r="M9" s="204"/>
      <c r="N9" s="204"/>
      <c r="O9" s="128"/>
    </row>
    <row r="10" spans="1:15" ht="14.45" x14ac:dyDescent="0.3">
      <c r="A10" s="1117" t="s">
        <v>16</v>
      </c>
      <c r="B10" s="1116" t="s">
        <v>38</v>
      </c>
      <c r="C10" s="1116" t="s">
        <v>22</v>
      </c>
      <c r="D10" s="1116" t="s">
        <v>23</v>
      </c>
      <c r="E10" s="1116" t="s">
        <v>31</v>
      </c>
      <c r="F10" s="1116" t="s">
        <v>32</v>
      </c>
      <c r="G10" s="1116" t="s">
        <v>33</v>
      </c>
      <c r="H10" s="1116" t="s">
        <v>34</v>
      </c>
      <c r="I10" s="1116" t="s">
        <v>39</v>
      </c>
      <c r="J10" s="1116" t="s">
        <v>40</v>
      </c>
      <c r="K10" s="1116" t="s">
        <v>41</v>
      </c>
      <c r="L10" s="1116" t="s">
        <v>42</v>
      </c>
      <c r="M10" s="1116" t="s">
        <v>19</v>
      </c>
      <c r="N10" s="1116" t="s">
        <v>20</v>
      </c>
      <c r="O10" s="128"/>
    </row>
    <row r="11" spans="1:15" ht="15" customHeight="1" x14ac:dyDescent="0.3">
      <c r="A11" s="1128">
        <v>10</v>
      </c>
      <c r="B11" s="964" t="s">
        <v>535</v>
      </c>
      <c r="C11" s="1127" t="s">
        <v>157</v>
      </c>
      <c r="D11" s="1120">
        <v>2.25</v>
      </c>
      <c r="E11" s="1126">
        <f>J11*K11*L11</f>
        <v>4.5062219624928589E-2</v>
      </c>
      <c r="F11" s="1125" t="s">
        <v>43</v>
      </c>
      <c r="G11" s="1125"/>
      <c r="H11" s="1124"/>
      <c r="I11" s="1123" t="s">
        <v>534</v>
      </c>
      <c r="J11" s="1123">
        <f>PI()*(7.5*10^-3)^2</f>
        <v>1.7671458676442585E-4</v>
      </c>
      <c r="K11" s="1122">
        <v>0.03</v>
      </c>
      <c r="L11" s="1121">
        <v>8500</v>
      </c>
      <c r="M11" s="1121">
        <v>1</v>
      </c>
      <c r="N11" s="1120">
        <f>D11*E11</f>
        <v>0.10138999415608932</v>
      </c>
      <c r="O11" s="128"/>
    </row>
    <row r="12" spans="1:15" ht="14.45" x14ac:dyDescent="0.3">
      <c r="A12" s="1115"/>
      <c r="B12" s="1112"/>
      <c r="C12" s="1112"/>
      <c r="D12" s="1112"/>
      <c r="E12" s="1112"/>
      <c r="F12" s="1112"/>
      <c r="G12" s="1112"/>
      <c r="H12" s="1112"/>
      <c r="I12" s="1112"/>
      <c r="J12" s="1112"/>
      <c r="K12" s="1112"/>
      <c r="L12" s="1112"/>
      <c r="M12" s="1114" t="s">
        <v>20</v>
      </c>
      <c r="N12" s="1119">
        <f>N11</f>
        <v>0.10138999415608932</v>
      </c>
      <c r="O12" s="128"/>
    </row>
    <row r="13" spans="1:15" ht="14.45" x14ac:dyDescent="0.3">
      <c r="A13" s="1118"/>
      <c r="B13" s="204"/>
      <c r="C13" s="204"/>
      <c r="D13" s="204"/>
      <c r="E13" s="204"/>
      <c r="F13" s="204"/>
      <c r="G13" s="204"/>
      <c r="H13" s="204"/>
      <c r="I13" s="204"/>
      <c r="J13" s="204"/>
      <c r="K13" s="204"/>
      <c r="L13" s="204"/>
      <c r="M13" s="204"/>
      <c r="N13" s="204"/>
      <c r="O13" s="128"/>
    </row>
    <row r="14" spans="1:15" ht="14.45" x14ac:dyDescent="0.3">
      <c r="A14" s="1168" t="s">
        <v>16</v>
      </c>
      <c r="B14" s="1167" t="s">
        <v>21</v>
      </c>
      <c r="C14" s="1167" t="s">
        <v>22</v>
      </c>
      <c r="D14" s="1167" t="s">
        <v>23</v>
      </c>
      <c r="E14" s="1167" t="s">
        <v>24</v>
      </c>
      <c r="F14" s="1167" t="s">
        <v>19</v>
      </c>
      <c r="G14" s="1167" t="s">
        <v>25</v>
      </c>
      <c r="H14" s="1167" t="s">
        <v>26</v>
      </c>
      <c r="I14" s="1167" t="s">
        <v>20</v>
      </c>
      <c r="J14" s="1112"/>
      <c r="K14" s="1112"/>
      <c r="L14" s="1112"/>
      <c r="M14" s="1112"/>
      <c r="N14" s="1112"/>
      <c r="O14" s="128"/>
    </row>
    <row r="15" spans="1:15" ht="14.45" x14ac:dyDescent="0.3">
      <c r="A15" s="1165">
        <v>10</v>
      </c>
      <c r="B15" s="1166" t="s">
        <v>81</v>
      </c>
      <c r="C15" s="1166"/>
      <c r="D15" s="1162">
        <v>1.3</v>
      </c>
      <c r="E15" s="1166" t="s">
        <v>72</v>
      </c>
      <c r="F15" s="1166">
        <v>1</v>
      </c>
      <c r="G15" s="1166" t="s">
        <v>160</v>
      </c>
      <c r="H15" s="1166">
        <v>0.5</v>
      </c>
      <c r="I15" s="1162">
        <f>D15*H15*F15</f>
        <v>0.65</v>
      </c>
      <c r="J15" s="204"/>
      <c r="K15" s="204"/>
      <c r="L15" s="204"/>
      <c r="M15" s="204"/>
      <c r="N15" s="204"/>
      <c r="O15" s="128"/>
    </row>
    <row r="16" spans="1:15" ht="14.45" x14ac:dyDescent="0.3">
      <c r="A16" s="1165">
        <v>20</v>
      </c>
      <c r="B16" s="1166" t="s">
        <v>380</v>
      </c>
      <c r="C16" s="1166" t="s">
        <v>379</v>
      </c>
      <c r="D16" s="1162">
        <v>0.04</v>
      </c>
      <c r="E16" s="1166" t="s">
        <v>79</v>
      </c>
      <c r="F16" s="1166">
        <v>1.04</v>
      </c>
      <c r="G16" s="1166" t="s">
        <v>93</v>
      </c>
      <c r="H16" s="1166">
        <v>3</v>
      </c>
      <c r="I16" s="1162">
        <f>D16*F16*H16</f>
        <v>0.12480000000000002</v>
      </c>
      <c r="J16" s="204"/>
      <c r="K16" s="204"/>
      <c r="L16" s="204"/>
      <c r="M16" s="204"/>
      <c r="N16" s="204"/>
      <c r="O16" s="128"/>
    </row>
    <row r="17" spans="1:15" ht="14.45" x14ac:dyDescent="0.3">
      <c r="A17" s="1165">
        <v>30</v>
      </c>
      <c r="B17" s="177" t="s">
        <v>166</v>
      </c>
      <c r="C17" s="1164" t="s">
        <v>126</v>
      </c>
      <c r="D17" s="1162">
        <v>0.35</v>
      </c>
      <c r="E17" s="177" t="s">
        <v>82</v>
      </c>
      <c r="F17" s="177">
        <v>2</v>
      </c>
      <c r="G17" s="177" t="s">
        <v>533</v>
      </c>
      <c r="H17" s="1163">
        <v>1</v>
      </c>
      <c r="I17" s="1162">
        <f>D17*F17*H17</f>
        <v>0.7</v>
      </c>
      <c r="J17" s="204"/>
      <c r="K17" s="204"/>
      <c r="L17" s="204"/>
      <c r="M17" s="204"/>
      <c r="N17" s="204"/>
      <c r="O17" s="128"/>
    </row>
    <row r="18" spans="1:15" ht="14.45" customHeight="1" x14ac:dyDescent="0.3">
      <c r="A18" s="1165">
        <v>40</v>
      </c>
      <c r="B18" s="196" t="s">
        <v>149</v>
      </c>
      <c r="C18" s="215" t="s">
        <v>150</v>
      </c>
      <c r="D18" s="185">
        <v>0.65</v>
      </c>
      <c r="E18" s="196" t="s">
        <v>24</v>
      </c>
      <c r="F18" s="216">
        <v>1</v>
      </c>
      <c r="G18" s="177" t="s">
        <v>160</v>
      </c>
      <c r="H18" s="1166">
        <v>0.5</v>
      </c>
      <c r="I18" s="186">
        <f>D18*F18*H18</f>
        <v>0.32500000000000001</v>
      </c>
      <c r="J18" s="217"/>
      <c r="K18" s="217"/>
      <c r="L18" s="217"/>
      <c r="M18" s="217"/>
      <c r="N18" s="217"/>
      <c r="O18" s="218"/>
    </row>
    <row r="19" spans="1:15" ht="14.45" x14ac:dyDescent="0.3">
      <c r="A19" s="1165">
        <v>50</v>
      </c>
      <c r="B19" s="177" t="s">
        <v>166</v>
      </c>
      <c r="C19" s="1164" t="s">
        <v>126</v>
      </c>
      <c r="D19" s="1162">
        <v>0.35</v>
      </c>
      <c r="E19" s="177" t="s">
        <v>82</v>
      </c>
      <c r="F19" s="177">
        <v>2</v>
      </c>
      <c r="G19" s="177" t="s">
        <v>533</v>
      </c>
      <c r="H19" s="1163">
        <v>1</v>
      </c>
      <c r="I19" s="1162">
        <f>D19*F19*H19</f>
        <v>0.7</v>
      </c>
      <c r="J19" s="204"/>
      <c r="K19" s="204"/>
      <c r="L19" s="204"/>
      <c r="M19" s="204"/>
      <c r="N19" s="204"/>
      <c r="O19" s="128"/>
    </row>
    <row r="20" spans="1:15" ht="14.45" x14ac:dyDescent="0.3">
      <c r="A20" s="1115"/>
      <c r="B20" s="1112"/>
      <c r="C20" s="1112"/>
      <c r="D20" s="1112"/>
      <c r="E20" s="1112"/>
      <c r="F20" s="1112"/>
      <c r="G20" s="1112"/>
      <c r="H20" s="1114" t="s">
        <v>20</v>
      </c>
      <c r="I20" s="1113">
        <f>I15+I17</f>
        <v>1.35</v>
      </c>
      <c r="J20" s="1112"/>
      <c r="K20" s="1112"/>
      <c r="L20" s="1112"/>
      <c r="M20" s="1112"/>
      <c r="N20" s="1112"/>
      <c r="O20" s="128"/>
    </row>
    <row r="21" spans="1:15" ht="14.45" x14ac:dyDescent="0.3">
      <c r="A21" s="1118"/>
      <c r="B21" s="204"/>
      <c r="C21" s="204"/>
      <c r="D21" s="204"/>
      <c r="E21" s="204"/>
      <c r="F21" s="204"/>
      <c r="G21" s="204"/>
      <c r="H21" s="1134"/>
      <c r="I21" s="1131"/>
      <c r="J21" s="204"/>
      <c r="K21" s="204"/>
      <c r="L21" s="204"/>
      <c r="M21" s="204"/>
      <c r="N21" s="204"/>
      <c r="O21" s="128"/>
    </row>
    <row r="22" spans="1:15" thickBot="1" x14ac:dyDescent="0.35">
      <c r="A22" s="1111"/>
      <c r="B22" s="1108"/>
      <c r="C22" s="1108"/>
      <c r="D22" s="1108"/>
      <c r="E22" s="1108"/>
      <c r="F22" s="1108"/>
      <c r="G22" s="1108"/>
      <c r="H22" s="1108"/>
      <c r="I22" s="1108"/>
      <c r="J22" s="1108"/>
      <c r="K22" s="1108"/>
      <c r="L22" s="1108"/>
      <c r="M22" s="1108"/>
      <c r="N22" s="1108"/>
      <c r="O22" s="140"/>
    </row>
    <row r="23" spans="1:15" ht="14.45" x14ac:dyDescent="0.3">
      <c r="A23" s="1106"/>
      <c r="B23" s="1106"/>
      <c r="C23" s="1106"/>
      <c r="D23" s="1106"/>
      <c r="E23" s="1106"/>
      <c r="F23" s="1106"/>
      <c r="G23" s="1106"/>
      <c r="H23" s="1106"/>
      <c r="I23" s="1106"/>
      <c r="J23" s="1106"/>
      <c r="K23" s="1106"/>
      <c r="L23" s="1106"/>
      <c r="M23" s="1106"/>
      <c r="N23" s="1106"/>
    </row>
    <row r="24" spans="1:15" ht="14.45" x14ac:dyDescent="0.3">
      <c r="A24" s="1106"/>
      <c r="B24" s="1106"/>
      <c r="C24" s="1106"/>
      <c r="D24" s="1106"/>
      <c r="E24" s="1106"/>
      <c r="F24" s="1106"/>
      <c r="G24" s="1106"/>
      <c r="H24" s="1106"/>
      <c r="I24" s="1106"/>
      <c r="J24" s="1106"/>
      <c r="K24" s="1106"/>
      <c r="L24" s="1106"/>
      <c r="M24" s="1106"/>
      <c r="N24" s="1106"/>
    </row>
    <row r="25" spans="1:15" ht="14.45" x14ac:dyDescent="0.3">
      <c r="A25" s="1106"/>
      <c r="B25" s="1106"/>
      <c r="C25" s="1106"/>
      <c r="D25" s="1106"/>
      <c r="E25" s="1106"/>
      <c r="F25" s="1106"/>
      <c r="G25" s="1106"/>
      <c r="H25" s="1106"/>
      <c r="I25" s="1106"/>
      <c r="J25" s="1106"/>
      <c r="K25" s="1106"/>
      <c r="L25" s="1106"/>
      <c r="M25" s="1106"/>
      <c r="N25" s="1106"/>
    </row>
    <row r="26" spans="1:15" ht="14.45" x14ac:dyDescent="0.3">
      <c r="A26" s="104"/>
      <c r="B26" s="1106"/>
      <c r="C26" s="1106"/>
      <c r="D26" s="1106"/>
      <c r="E26" s="1106"/>
      <c r="F26" s="1106"/>
      <c r="G26" s="1106"/>
      <c r="H26" s="1106"/>
      <c r="I26" s="1106"/>
      <c r="J26" s="1106"/>
      <c r="K26" s="1106"/>
      <c r="L26" s="1106"/>
      <c r="M26" s="1106"/>
      <c r="N26" s="1106"/>
    </row>
    <row r="27" spans="1:15" ht="14.45" x14ac:dyDescent="0.3">
      <c r="A27" s="104"/>
      <c r="B27" s="1106"/>
      <c r="C27" s="1106"/>
      <c r="D27" s="1106"/>
      <c r="E27" s="1106"/>
      <c r="F27" s="1106"/>
      <c r="G27" s="1106"/>
      <c r="H27" s="1106"/>
      <c r="I27" s="1106"/>
      <c r="J27" s="1106"/>
      <c r="K27" s="1106"/>
      <c r="L27" s="1106"/>
      <c r="M27" s="1106"/>
      <c r="N27" s="1106"/>
    </row>
    <row r="28" spans="1:15" ht="14.45" x14ac:dyDescent="0.3">
      <c r="A28" s="58"/>
      <c r="B28" s="1106"/>
      <c r="C28" s="1106"/>
      <c r="D28" s="1106"/>
      <c r="E28" s="1106"/>
      <c r="F28" s="1106"/>
      <c r="G28" s="1106"/>
      <c r="H28" s="1106"/>
      <c r="I28" s="1106"/>
      <c r="J28" s="1106"/>
      <c r="K28" s="1106"/>
      <c r="L28" s="1106"/>
      <c r="M28" s="1106"/>
      <c r="N28" s="1106"/>
    </row>
    <row r="29" spans="1:15" ht="14.45" x14ac:dyDescent="0.3">
      <c r="A29" s="108"/>
      <c r="B29" s="1106"/>
      <c r="C29" s="1106"/>
      <c r="D29" s="1106"/>
      <c r="E29" s="1106"/>
      <c r="F29" s="1106"/>
      <c r="G29" s="1106"/>
      <c r="H29" s="1106"/>
      <c r="I29" s="1106"/>
      <c r="J29" s="1106"/>
      <c r="K29" s="1106"/>
      <c r="L29" s="1106"/>
      <c r="M29" s="1106"/>
      <c r="N29" s="1106"/>
    </row>
    <row r="30" spans="1:15" ht="14.45" x14ac:dyDescent="0.3">
      <c r="A30" s="109"/>
      <c r="B30" s="1106"/>
      <c r="C30" s="1106"/>
      <c r="D30" s="1106"/>
      <c r="E30" s="1106"/>
      <c r="F30" s="1106"/>
      <c r="G30" s="1106"/>
      <c r="H30" s="1106"/>
      <c r="I30" s="1106"/>
      <c r="J30" s="1106"/>
      <c r="K30" s="1106"/>
      <c r="L30" s="1106"/>
      <c r="M30" s="1106"/>
      <c r="N30" s="1106"/>
    </row>
    <row r="31" spans="1:15" ht="14.45" x14ac:dyDescent="0.3">
      <c r="A31" s="104"/>
      <c r="B31" s="1106"/>
      <c r="C31" s="1106"/>
      <c r="D31" s="1106"/>
      <c r="E31" s="1106"/>
      <c r="F31" s="1106"/>
      <c r="G31" s="1106"/>
      <c r="H31" s="1106"/>
      <c r="I31" s="1106"/>
      <c r="J31" s="1106"/>
      <c r="K31" s="1106"/>
      <c r="L31" s="1106"/>
      <c r="M31" s="1106"/>
      <c r="N31" s="1106"/>
    </row>
    <row r="32" spans="1:15" ht="14.45" x14ac:dyDescent="0.3">
      <c r="A32" s="104"/>
      <c r="B32" s="1106"/>
      <c r="C32" s="1106"/>
      <c r="D32" s="1106"/>
      <c r="E32" s="1106"/>
      <c r="F32" s="1106"/>
      <c r="G32" s="1106"/>
      <c r="H32" s="1106"/>
      <c r="I32" s="1106"/>
      <c r="J32" s="1106"/>
      <c r="K32" s="1106"/>
      <c r="L32" s="1106"/>
      <c r="M32" s="1106"/>
      <c r="N32" s="1106"/>
    </row>
    <row r="33" spans="1:14" ht="14.45" x14ac:dyDescent="0.3">
      <c r="A33" s="1106"/>
      <c r="B33" s="1106"/>
      <c r="C33" s="1106"/>
      <c r="D33" s="1106"/>
      <c r="E33" s="1106"/>
      <c r="F33" s="1106"/>
      <c r="G33" s="1106"/>
      <c r="H33" s="1106"/>
      <c r="I33" s="1106"/>
      <c r="J33" s="1106"/>
      <c r="K33" s="1106"/>
      <c r="L33" s="1106"/>
      <c r="M33" s="1106"/>
      <c r="N33" s="1106"/>
    </row>
    <row r="34" spans="1:14" ht="14.45" x14ac:dyDescent="0.3">
      <c r="A34" s="1106"/>
      <c r="B34" s="1106"/>
      <c r="C34" s="1106"/>
      <c r="D34" s="1106"/>
      <c r="E34" s="1106"/>
      <c r="F34" s="1106"/>
      <c r="G34" s="1106"/>
      <c r="H34" s="1106"/>
      <c r="I34" s="1106"/>
      <c r="J34" s="1106"/>
      <c r="K34" s="1106"/>
      <c r="L34" s="1106"/>
      <c r="M34" s="1106"/>
      <c r="N34" s="1106"/>
    </row>
    <row r="35" spans="1:14" x14ac:dyDescent="0.25">
      <c r="A35" s="1106"/>
      <c r="B35" s="1106"/>
      <c r="C35" s="1106"/>
      <c r="D35" s="1106"/>
      <c r="E35" s="1106"/>
      <c r="F35" s="1106"/>
      <c r="G35" s="1106"/>
      <c r="H35" s="1106"/>
      <c r="I35" s="1106"/>
      <c r="J35" s="1106"/>
      <c r="K35" s="1106"/>
      <c r="L35" s="1106"/>
      <c r="M35" s="1106"/>
      <c r="N35" s="1106"/>
    </row>
    <row r="36" spans="1:14" x14ac:dyDescent="0.25">
      <c r="A36" s="1106"/>
      <c r="B36" s="1106"/>
      <c r="C36" s="1106"/>
      <c r="D36" s="1106"/>
      <c r="E36" s="1106"/>
      <c r="F36" s="1106"/>
      <c r="G36" s="1106"/>
      <c r="H36" s="1106"/>
      <c r="I36" s="1106"/>
      <c r="J36" s="1106"/>
      <c r="K36" s="1106"/>
      <c r="L36" s="1106"/>
      <c r="M36" s="1106"/>
      <c r="N36" s="1106"/>
    </row>
    <row r="37" spans="1:14" x14ac:dyDescent="0.25">
      <c r="A37" s="1106"/>
      <c r="B37" s="1106"/>
      <c r="C37" s="1106"/>
      <c r="D37" s="1106"/>
      <c r="E37" s="1106"/>
      <c r="F37" s="1106"/>
      <c r="G37" s="1106"/>
      <c r="H37" s="1106"/>
      <c r="I37" s="1106"/>
      <c r="J37" s="1106"/>
      <c r="K37" s="1106"/>
      <c r="L37" s="1106"/>
      <c r="M37" s="1106"/>
      <c r="N37" s="1106"/>
    </row>
    <row r="38" spans="1:14" x14ac:dyDescent="0.25">
      <c r="A38" s="1106"/>
      <c r="B38" s="1106"/>
      <c r="C38" s="1106"/>
      <c r="D38" s="1106"/>
      <c r="E38" s="1106"/>
      <c r="F38" s="1106"/>
      <c r="G38" s="1106"/>
      <c r="H38" s="1106"/>
      <c r="I38" s="1106"/>
      <c r="J38" s="1106"/>
      <c r="K38" s="1106"/>
      <c r="L38" s="1106"/>
      <c r="M38" s="1106"/>
      <c r="N38" s="1106"/>
    </row>
    <row r="39" spans="1:14" x14ac:dyDescent="0.25">
      <c r="A39" s="1106"/>
      <c r="B39" s="1106"/>
      <c r="C39" s="1106"/>
      <c r="D39" s="1106"/>
      <c r="E39" s="1106"/>
      <c r="F39" s="1106"/>
      <c r="G39" s="1106"/>
      <c r="H39" s="1106"/>
      <c r="I39" s="1106"/>
      <c r="J39" s="1106"/>
      <c r="K39" s="1106"/>
      <c r="L39" s="1106"/>
      <c r="M39" s="1106"/>
      <c r="N39" s="1106"/>
    </row>
    <row r="40" spans="1:14" x14ac:dyDescent="0.25">
      <c r="A40" s="1106"/>
      <c r="B40" s="1106"/>
      <c r="C40" s="1106"/>
      <c r="D40" s="1106"/>
      <c r="E40" s="1106"/>
      <c r="F40" s="1106"/>
      <c r="G40" s="1106"/>
      <c r="H40" s="1106"/>
      <c r="I40" s="1106"/>
      <c r="J40" s="1106"/>
      <c r="K40" s="1106"/>
      <c r="L40" s="1106"/>
      <c r="M40" s="1106"/>
      <c r="N40" s="1106"/>
    </row>
    <row r="41" spans="1:14" x14ac:dyDescent="0.25">
      <c r="A41" s="1106"/>
      <c r="B41" s="1106"/>
      <c r="C41" s="1106"/>
      <c r="D41" s="1106"/>
      <c r="E41" s="1106"/>
      <c r="F41" s="1106"/>
      <c r="G41" s="1106"/>
      <c r="H41" s="1106"/>
      <c r="I41" s="1106"/>
      <c r="J41" s="1106"/>
      <c r="K41" s="1106"/>
      <c r="L41" s="1106"/>
      <c r="M41" s="1106"/>
      <c r="N41" s="1106"/>
    </row>
    <row r="42" spans="1:14" x14ac:dyDescent="0.25">
      <c r="A42" s="1106"/>
      <c r="B42" s="1106"/>
      <c r="C42" s="1106"/>
      <c r="D42" s="1106"/>
      <c r="E42" s="1106"/>
      <c r="F42" s="1106"/>
      <c r="G42" s="1106"/>
      <c r="H42" s="1106"/>
      <c r="I42" s="1106"/>
      <c r="J42" s="1106"/>
      <c r="K42" s="1106"/>
      <c r="L42" s="1106"/>
      <c r="M42" s="1106"/>
      <c r="N42" s="1106"/>
    </row>
    <row r="43" spans="1:14" x14ac:dyDescent="0.25">
      <c r="A43" s="1106"/>
      <c r="B43" s="1106"/>
      <c r="C43" s="1106"/>
      <c r="D43" s="1106"/>
      <c r="E43" s="1106"/>
      <c r="F43" s="1106"/>
      <c r="G43" s="1106"/>
      <c r="H43" s="1106"/>
      <c r="I43" s="1106"/>
      <c r="J43" s="1106"/>
      <c r="K43" s="1106"/>
      <c r="L43" s="1106"/>
      <c r="M43" s="1106"/>
      <c r="N43" s="1106"/>
    </row>
    <row r="44" spans="1:14" x14ac:dyDescent="0.25">
      <c r="A44" s="1106"/>
      <c r="B44" s="1106"/>
      <c r="C44" s="1106"/>
      <c r="D44" s="1106"/>
      <c r="E44" s="1106"/>
      <c r="F44" s="1106"/>
      <c r="G44" s="1106"/>
      <c r="H44" s="1106"/>
      <c r="I44" s="1106"/>
      <c r="J44" s="1106"/>
      <c r="K44" s="1106"/>
      <c r="L44" s="1106"/>
      <c r="M44" s="1106"/>
      <c r="N44" s="1106"/>
    </row>
    <row r="45" spans="1:14" x14ac:dyDescent="0.25">
      <c r="A45" s="1106"/>
      <c r="B45" s="1106"/>
      <c r="C45" s="1106"/>
      <c r="D45" s="1106"/>
      <c r="E45" s="1106"/>
      <c r="F45" s="1106"/>
      <c r="G45" s="1106"/>
      <c r="H45" s="1106"/>
      <c r="I45" s="1106"/>
      <c r="J45" s="1106"/>
      <c r="K45" s="1106"/>
      <c r="L45" s="1106"/>
      <c r="M45" s="1106"/>
      <c r="N45" s="1106"/>
    </row>
    <row r="46" spans="1:14" x14ac:dyDescent="0.25">
      <c r="A46" s="1106"/>
      <c r="B46" s="1106"/>
      <c r="C46" s="1106"/>
      <c r="D46" s="1106"/>
      <c r="E46" s="1106"/>
      <c r="F46" s="1106"/>
      <c r="G46" s="1106"/>
      <c r="H46" s="1106"/>
      <c r="I46" s="1106"/>
      <c r="J46" s="1106"/>
      <c r="K46" s="1106"/>
      <c r="L46" s="1106"/>
      <c r="M46" s="1106"/>
      <c r="N46" s="1106"/>
    </row>
    <row r="47" spans="1:14" x14ac:dyDescent="0.25">
      <c r="A47" s="1106"/>
      <c r="B47" s="1106"/>
      <c r="C47" s="1106"/>
      <c r="D47" s="1106"/>
      <c r="E47" s="1106"/>
      <c r="F47" s="1106"/>
      <c r="G47" s="1106"/>
      <c r="H47" s="1106"/>
      <c r="I47" s="1106"/>
      <c r="J47" s="1106"/>
      <c r="K47" s="1106"/>
      <c r="L47" s="1106"/>
      <c r="M47" s="1106"/>
      <c r="N47" s="1106"/>
    </row>
    <row r="48" spans="1:14" x14ac:dyDescent="0.25">
      <c r="A48" s="1106"/>
      <c r="B48" s="1106"/>
      <c r="C48" s="1106"/>
      <c r="D48" s="1106"/>
      <c r="E48" s="1106"/>
      <c r="F48" s="1106"/>
      <c r="G48" s="1106"/>
      <c r="H48" s="1106"/>
      <c r="I48" s="1106"/>
      <c r="J48" s="1106"/>
      <c r="K48" s="1106"/>
      <c r="L48" s="1106"/>
      <c r="M48" s="1106"/>
      <c r="N48" s="1106"/>
    </row>
    <row r="49" spans="1:14" x14ac:dyDescent="0.25">
      <c r="A49" s="1106"/>
      <c r="B49" s="1106"/>
      <c r="C49" s="1106"/>
      <c r="D49" s="1106"/>
      <c r="E49" s="1106"/>
      <c r="F49" s="1106"/>
      <c r="G49" s="1106"/>
      <c r="H49" s="1106"/>
      <c r="I49" s="1106"/>
      <c r="J49" s="1106"/>
      <c r="K49" s="1106"/>
      <c r="L49" s="1106"/>
      <c r="M49" s="1106"/>
      <c r="N49" s="1106"/>
    </row>
    <row r="50" spans="1:14" x14ac:dyDescent="0.25">
      <c r="A50" s="1106"/>
      <c r="B50" s="1106"/>
      <c r="C50" s="1106"/>
      <c r="D50" s="1106"/>
      <c r="E50" s="1106"/>
      <c r="F50" s="1106"/>
      <c r="G50" s="1106"/>
      <c r="H50" s="1106"/>
      <c r="I50" s="1106"/>
      <c r="J50" s="1106"/>
      <c r="K50" s="1106"/>
      <c r="L50" s="1106"/>
      <c r="M50" s="1106"/>
      <c r="N50" s="1106"/>
    </row>
    <row r="51" spans="1:14" x14ac:dyDescent="0.25">
      <c r="A51" s="1106"/>
      <c r="B51" s="1106"/>
      <c r="C51" s="1106"/>
      <c r="D51" s="1106"/>
      <c r="E51" s="1106"/>
      <c r="F51" s="1106"/>
      <c r="G51" s="1106"/>
      <c r="H51" s="1106"/>
      <c r="I51" s="1106"/>
      <c r="J51" s="1106"/>
      <c r="K51" s="1106"/>
      <c r="L51" s="1106"/>
      <c r="M51" s="1106"/>
      <c r="N51" s="1106"/>
    </row>
    <row r="52" spans="1:14" x14ac:dyDescent="0.25">
      <c r="A52" s="1106"/>
      <c r="B52" s="1106"/>
      <c r="C52" s="1106"/>
      <c r="D52" s="1106"/>
      <c r="E52" s="1106"/>
      <c r="F52" s="1106"/>
      <c r="G52" s="1106"/>
      <c r="H52" s="1106"/>
      <c r="I52" s="1106"/>
      <c r="J52" s="1106"/>
      <c r="K52" s="1106"/>
      <c r="L52" s="1106"/>
      <c r="M52" s="1106"/>
      <c r="N52" s="1106"/>
    </row>
    <row r="53" spans="1:14" x14ac:dyDescent="0.25">
      <c r="A53" s="1106"/>
      <c r="B53" s="1106"/>
      <c r="C53" s="1106"/>
      <c r="D53" s="1106"/>
      <c r="E53" s="1106"/>
      <c r="F53" s="1106"/>
      <c r="G53" s="1106"/>
      <c r="H53" s="1106"/>
      <c r="I53" s="1106"/>
      <c r="J53" s="1106"/>
      <c r="K53" s="1106"/>
      <c r="L53" s="1106"/>
      <c r="M53" s="1106"/>
      <c r="N53" s="1106"/>
    </row>
    <row r="54" spans="1:14" x14ac:dyDescent="0.25">
      <c r="A54" s="1106"/>
      <c r="B54" s="1106"/>
      <c r="C54" s="1106"/>
      <c r="D54" s="1106"/>
      <c r="E54" s="1106"/>
      <c r="F54" s="1106"/>
      <c r="G54" s="1106"/>
      <c r="H54" s="1106"/>
      <c r="I54" s="1106"/>
      <c r="J54" s="1106"/>
      <c r="K54" s="1106"/>
      <c r="L54" s="1106"/>
      <c r="M54" s="1106"/>
      <c r="N54" s="1106"/>
    </row>
    <row r="55" spans="1:14" x14ac:dyDescent="0.25">
      <c r="A55" s="1106"/>
      <c r="B55" s="1106"/>
      <c r="C55" s="1106"/>
      <c r="D55" s="1106"/>
      <c r="E55" s="1106"/>
      <c r="F55" s="1106"/>
      <c r="G55" s="1106"/>
      <c r="H55" s="1106"/>
      <c r="I55" s="1106"/>
      <c r="J55" s="1106"/>
      <c r="K55" s="1106"/>
      <c r="L55" s="1106"/>
      <c r="M55" s="1106"/>
      <c r="N55" s="1106"/>
    </row>
    <row r="56" spans="1:14" x14ac:dyDescent="0.25">
      <c r="A56" s="1106"/>
      <c r="B56" s="1106"/>
      <c r="C56" s="1106"/>
      <c r="D56" s="1106"/>
      <c r="E56" s="1106"/>
      <c r="F56" s="1106"/>
      <c r="G56" s="1106"/>
      <c r="H56" s="1106"/>
      <c r="I56" s="1106"/>
      <c r="J56" s="1106"/>
      <c r="K56" s="1106"/>
      <c r="L56" s="1106"/>
      <c r="M56" s="1106"/>
      <c r="N56" s="1106"/>
    </row>
    <row r="57" spans="1:14" x14ac:dyDescent="0.25">
      <c r="A57" s="1106"/>
      <c r="B57" s="1106"/>
      <c r="C57" s="1106"/>
      <c r="D57" s="1106"/>
      <c r="E57" s="1106"/>
      <c r="F57" s="1106"/>
      <c r="G57" s="1106"/>
      <c r="H57" s="1106"/>
      <c r="I57" s="1106"/>
      <c r="J57" s="1106"/>
      <c r="K57" s="1106"/>
      <c r="L57" s="1106"/>
      <c r="M57" s="1106"/>
      <c r="N57" s="1106"/>
    </row>
    <row r="58" spans="1:14" x14ac:dyDescent="0.25">
      <c r="A58" s="1106"/>
      <c r="B58" s="1106"/>
      <c r="C58" s="1106"/>
      <c r="D58" s="1106"/>
      <c r="E58" s="1106"/>
      <c r="F58" s="1106"/>
      <c r="G58" s="1106"/>
      <c r="H58" s="1106"/>
      <c r="I58" s="1106"/>
      <c r="J58" s="1106"/>
      <c r="K58" s="1106"/>
      <c r="L58" s="1106"/>
      <c r="M58" s="1106"/>
      <c r="N58" s="1106"/>
    </row>
    <row r="59" spans="1:14" x14ac:dyDescent="0.25">
      <c r="A59" s="1106"/>
      <c r="B59" s="1106"/>
      <c r="C59" s="1106"/>
      <c r="D59" s="1106"/>
      <c r="E59" s="1106"/>
      <c r="F59" s="1106"/>
      <c r="G59" s="1106"/>
      <c r="H59" s="1106"/>
      <c r="I59" s="1106"/>
      <c r="J59" s="1106"/>
      <c r="K59" s="1106"/>
      <c r="L59" s="1106"/>
      <c r="M59" s="1106"/>
      <c r="N59" s="1106"/>
    </row>
    <row r="60" spans="1:14" x14ac:dyDescent="0.25">
      <c r="A60" s="1106"/>
      <c r="B60" s="1106"/>
      <c r="C60" s="1106"/>
      <c r="D60" s="1106"/>
      <c r="E60" s="1106"/>
      <c r="F60" s="1106"/>
      <c r="G60" s="1106"/>
      <c r="H60" s="1106"/>
      <c r="I60" s="1106"/>
      <c r="J60" s="1106"/>
      <c r="K60" s="1106"/>
      <c r="L60" s="1106"/>
      <c r="M60" s="1106"/>
      <c r="N60" s="1106"/>
    </row>
    <row r="61" spans="1:14" x14ac:dyDescent="0.25">
      <c r="A61" s="1106"/>
      <c r="B61" s="1106"/>
      <c r="C61" s="1106"/>
      <c r="D61" s="1106"/>
      <c r="E61" s="1106"/>
      <c r="F61" s="1106"/>
      <c r="G61" s="1106"/>
      <c r="H61" s="1106"/>
      <c r="I61" s="1106"/>
      <c r="J61" s="1106"/>
      <c r="K61" s="1106"/>
      <c r="L61" s="1106"/>
      <c r="M61" s="1106"/>
      <c r="N61" s="1106"/>
    </row>
    <row r="62" spans="1:14" x14ac:dyDescent="0.25">
      <c r="A62" s="1106"/>
      <c r="B62" s="1106"/>
      <c r="C62" s="1106"/>
      <c r="D62" s="1106"/>
      <c r="E62" s="1106"/>
      <c r="F62" s="1106"/>
      <c r="G62" s="1106"/>
      <c r="H62" s="1106"/>
      <c r="I62" s="1106"/>
      <c r="J62" s="1106"/>
      <c r="K62" s="1106"/>
      <c r="L62" s="1106"/>
      <c r="M62" s="1106"/>
      <c r="N62" s="1106"/>
    </row>
    <row r="63" spans="1:14" x14ac:dyDescent="0.25">
      <c r="A63" s="1106"/>
      <c r="B63" s="1106"/>
      <c r="C63" s="1106"/>
      <c r="D63" s="1106"/>
      <c r="E63" s="1106"/>
      <c r="F63" s="1106"/>
      <c r="G63" s="1106"/>
      <c r="H63" s="1106"/>
      <c r="I63" s="1106"/>
      <c r="J63" s="1106"/>
      <c r="K63" s="1106"/>
      <c r="L63" s="1106"/>
      <c r="M63" s="1106"/>
      <c r="N63" s="1106"/>
    </row>
    <row r="64" spans="1:14" x14ac:dyDescent="0.25">
      <c r="A64" s="1106"/>
      <c r="B64" s="1106"/>
      <c r="C64" s="1106"/>
      <c r="D64" s="1106"/>
      <c r="E64" s="1106"/>
      <c r="F64" s="1106"/>
      <c r="G64" s="1106"/>
      <c r="H64" s="1106"/>
      <c r="I64" s="1106"/>
      <c r="J64" s="1106"/>
      <c r="K64" s="1106"/>
      <c r="L64" s="1106"/>
      <c r="M64" s="1106"/>
      <c r="N64" s="1106"/>
    </row>
    <row r="65" spans="1:14" x14ac:dyDescent="0.25">
      <c r="A65" s="1106"/>
      <c r="B65" s="1106"/>
      <c r="C65" s="1106"/>
      <c r="D65" s="1106"/>
      <c r="E65" s="1106"/>
      <c r="F65" s="1106"/>
      <c r="G65" s="1106"/>
      <c r="H65" s="1106"/>
      <c r="I65" s="1106"/>
      <c r="J65" s="1106"/>
      <c r="K65" s="1106"/>
      <c r="L65" s="1106"/>
      <c r="M65" s="1106"/>
      <c r="N65" s="1106"/>
    </row>
    <row r="66" spans="1:14" x14ac:dyDescent="0.25">
      <c r="A66" s="1106"/>
      <c r="B66" s="1106"/>
      <c r="C66" s="1106"/>
      <c r="D66" s="1106"/>
      <c r="E66" s="1106"/>
      <c r="F66" s="1106"/>
      <c r="G66" s="1106"/>
      <c r="H66" s="1106"/>
      <c r="I66" s="1106"/>
      <c r="J66" s="1106"/>
      <c r="K66" s="1106"/>
      <c r="L66" s="1106"/>
      <c r="M66" s="1106"/>
      <c r="N66" s="1106"/>
    </row>
    <row r="67" spans="1:14" x14ac:dyDescent="0.25">
      <c r="A67" s="1106"/>
      <c r="B67" s="1106"/>
      <c r="C67" s="1106"/>
      <c r="D67" s="1106"/>
      <c r="E67" s="1106"/>
      <c r="F67" s="1106"/>
      <c r="G67" s="1106"/>
      <c r="H67" s="1106"/>
      <c r="I67" s="1106"/>
      <c r="J67" s="1106"/>
      <c r="K67" s="1106"/>
      <c r="L67" s="1106"/>
      <c r="M67" s="1106"/>
      <c r="N67" s="1106"/>
    </row>
    <row r="68" spans="1:14" x14ac:dyDescent="0.25">
      <c r="A68" s="1106"/>
      <c r="B68" s="1106"/>
      <c r="C68" s="1106"/>
      <c r="D68" s="1106"/>
      <c r="E68" s="1106"/>
      <c r="F68" s="1106"/>
      <c r="G68" s="1106"/>
      <c r="H68" s="1106"/>
      <c r="I68" s="1106"/>
      <c r="J68" s="1106"/>
      <c r="K68" s="1106"/>
      <c r="L68" s="1106"/>
      <c r="M68" s="1106"/>
      <c r="N68" s="1106"/>
    </row>
    <row r="69" spans="1:14" x14ac:dyDescent="0.25">
      <c r="A69" s="1106"/>
      <c r="B69" s="1106"/>
      <c r="C69" s="1106"/>
      <c r="D69" s="1106"/>
      <c r="E69" s="1106"/>
      <c r="F69" s="1106"/>
      <c r="G69" s="1106"/>
      <c r="H69" s="1106"/>
      <c r="I69" s="1106"/>
      <c r="J69" s="1106"/>
      <c r="K69" s="1106"/>
      <c r="L69" s="1106"/>
      <c r="M69" s="1106"/>
      <c r="N69" s="1106"/>
    </row>
    <row r="70" spans="1:14" x14ac:dyDescent="0.25">
      <c r="A70" s="1106"/>
      <c r="B70" s="1106"/>
      <c r="C70" s="1106"/>
      <c r="D70" s="1106"/>
      <c r="E70" s="1106"/>
      <c r="F70" s="1106"/>
      <c r="G70" s="1106"/>
      <c r="H70" s="1106"/>
      <c r="I70" s="1106"/>
      <c r="J70" s="1106"/>
      <c r="K70" s="1106"/>
      <c r="L70" s="1106"/>
      <c r="M70" s="1106"/>
      <c r="N70" s="1106"/>
    </row>
    <row r="71" spans="1:14" x14ac:dyDescent="0.25">
      <c r="A71" s="1106"/>
      <c r="B71" s="1106"/>
      <c r="C71" s="1106"/>
      <c r="D71" s="1106"/>
      <c r="E71" s="1106"/>
      <c r="F71" s="1106"/>
      <c r="G71" s="1106"/>
      <c r="H71" s="1106"/>
      <c r="I71" s="1106"/>
      <c r="J71" s="1106"/>
      <c r="K71" s="1106"/>
      <c r="L71" s="1106"/>
      <c r="M71" s="1106"/>
      <c r="N71" s="1106"/>
    </row>
    <row r="72" spans="1:14" x14ac:dyDescent="0.25">
      <c r="A72" s="1106"/>
      <c r="B72" s="1106"/>
      <c r="C72" s="1106"/>
      <c r="D72" s="1106"/>
      <c r="E72" s="1106"/>
      <c r="F72" s="1106"/>
      <c r="G72" s="1106"/>
      <c r="H72" s="1106"/>
      <c r="I72" s="1106"/>
      <c r="J72" s="1106"/>
      <c r="K72" s="1106"/>
      <c r="L72" s="1106"/>
      <c r="M72" s="1106"/>
      <c r="N72" s="1106"/>
    </row>
    <row r="73" spans="1:14" x14ac:dyDescent="0.25">
      <c r="A73" s="1106"/>
      <c r="B73" s="1106"/>
      <c r="C73" s="1106"/>
      <c r="D73" s="1106"/>
      <c r="E73" s="1106"/>
      <c r="F73" s="1106"/>
      <c r="G73" s="1106"/>
      <c r="H73" s="1106"/>
      <c r="I73" s="1106"/>
      <c r="J73" s="1106"/>
      <c r="K73" s="1106"/>
      <c r="L73" s="1106"/>
      <c r="M73" s="1106"/>
      <c r="N73" s="1106"/>
    </row>
    <row r="74" spans="1:14" x14ac:dyDescent="0.25">
      <c r="A74" s="1106"/>
      <c r="B74" s="1106"/>
      <c r="C74" s="1106"/>
      <c r="D74" s="1106"/>
      <c r="E74" s="1106"/>
      <c r="F74" s="1106"/>
      <c r="G74" s="1106"/>
      <c r="H74" s="1106"/>
      <c r="I74" s="1106"/>
      <c r="J74" s="1106"/>
      <c r="K74" s="1106"/>
      <c r="L74" s="1106"/>
      <c r="M74" s="1106"/>
      <c r="N74" s="1106"/>
    </row>
    <row r="75" spans="1:14" x14ac:dyDescent="0.25">
      <c r="A75" s="1106"/>
      <c r="B75" s="1106"/>
      <c r="C75" s="1106"/>
      <c r="D75" s="1106"/>
      <c r="E75" s="1106"/>
      <c r="F75" s="1106"/>
      <c r="G75" s="1106"/>
      <c r="H75" s="1106"/>
      <c r="I75" s="1106"/>
      <c r="J75" s="1106"/>
      <c r="K75" s="1106"/>
      <c r="L75" s="1106"/>
      <c r="M75" s="1106"/>
      <c r="N75" s="1106"/>
    </row>
    <row r="76" spans="1:14" x14ac:dyDescent="0.25">
      <c r="A76" s="1106"/>
      <c r="B76" s="1106"/>
      <c r="C76" s="1106"/>
      <c r="D76" s="1106"/>
      <c r="E76" s="1106"/>
      <c r="F76" s="1106"/>
      <c r="G76" s="1106"/>
      <c r="H76" s="1106"/>
      <c r="I76" s="1106"/>
      <c r="J76" s="1106"/>
      <c r="K76" s="1106"/>
      <c r="L76" s="1106"/>
      <c r="M76" s="1106"/>
      <c r="N76" s="1106"/>
    </row>
    <row r="77" spans="1:14" x14ac:dyDescent="0.25">
      <c r="A77" s="1106"/>
      <c r="B77" s="1106"/>
      <c r="C77" s="1106"/>
      <c r="D77" s="1106"/>
      <c r="E77" s="1106"/>
      <c r="F77" s="1106"/>
      <c r="G77" s="1106"/>
      <c r="H77" s="1106"/>
      <c r="I77" s="1106"/>
      <c r="J77" s="1106"/>
      <c r="K77" s="1106"/>
      <c r="L77" s="1106"/>
      <c r="M77" s="1106"/>
      <c r="N77" s="1106"/>
    </row>
    <row r="78" spans="1:14" x14ac:dyDescent="0.25">
      <c r="A78" s="1106"/>
      <c r="B78" s="1106"/>
      <c r="C78" s="1106"/>
      <c r="D78" s="1106"/>
      <c r="E78" s="1106"/>
      <c r="F78" s="1106"/>
      <c r="G78" s="1106"/>
      <c r="H78" s="1106"/>
      <c r="I78" s="1106"/>
      <c r="J78" s="1106"/>
      <c r="K78" s="1106"/>
      <c r="L78" s="1106"/>
      <c r="M78" s="1106"/>
      <c r="N78" s="1106"/>
    </row>
    <row r="79" spans="1:14" x14ac:dyDescent="0.25">
      <c r="A79" s="1106"/>
      <c r="B79" s="1106"/>
      <c r="C79" s="1106"/>
      <c r="D79" s="1106"/>
      <c r="E79" s="1106"/>
      <c r="F79" s="1106"/>
      <c r="G79" s="1106"/>
      <c r="H79" s="1106"/>
      <c r="I79" s="1106"/>
      <c r="J79" s="1106"/>
      <c r="K79" s="1106"/>
      <c r="L79" s="1106"/>
      <c r="M79" s="1106"/>
      <c r="N79" s="1106"/>
    </row>
    <row r="80" spans="1:14" x14ac:dyDescent="0.25">
      <c r="A80" s="1106"/>
      <c r="B80" s="1106"/>
      <c r="C80" s="1106"/>
      <c r="D80" s="1106"/>
      <c r="E80" s="1106"/>
      <c r="F80" s="1106"/>
      <c r="G80" s="1106"/>
      <c r="H80" s="1106"/>
      <c r="I80" s="1106"/>
      <c r="J80" s="1106"/>
      <c r="K80" s="1106"/>
      <c r="L80" s="1106"/>
      <c r="M80" s="1106"/>
      <c r="N80" s="1106"/>
    </row>
    <row r="81" spans="1:14" x14ac:dyDescent="0.25">
      <c r="A81" s="1106"/>
      <c r="B81" s="1106"/>
      <c r="C81" s="1106"/>
      <c r="D81" s="1106"/>
      <c r="E81" s="1106"/>
      <c r="F81" s="1106"/>
      <c r="G81" s="1106"/>
      <c r="H81" s="1106"/>
      <c r="I81" s="1106"/>
      <c r="J81" s="1106"/>
      <c r="K81" s="1106"/>
      <c r="L81" s="1106"/>
      <c r="M81" s="1106"/>
      <c r="N81" s="1106"/>
    </row>
    <row r="82" spans="1:14" x14ac:dyDescent="0.25">
      <c r="A82" s="1106"/>
      <c r="B82" s="1106"/>
      <c r="C82" s="1106"/>
      <c r="D82" s="1106"/>
      <c r="E82" s="1106"/>
      <c r="F82" s="1106"/>
      <c r="G82" s="1106"/>
      <c r="H82" s="1106"/>
      <c r="I82" s="1106"/>
      <c r="J82" s="1106"/>
      <c r="K82" s="1106"/>
      <c r="L82" s="1106"/>
      <c r="M82" s="1106"/>
      <c r="N82" s="1106"/>
    </row>
    <row r="83" spans="1:14" x14ac:dyDescent="0.25">
      <c r="A83" s="1106"/>
      <c r="B83" s="1106"/>
      <c r="C83" s="1106"/>
      <c r="D83" s="1106"/>
      <c r="E83" s="1106"/>
      <c r="F83" s="1106"/>
      <c r="G83" s="1106"/>
      <c r="H83" s="1106"/>
      <c r="I83" s="1106"/>
      <c r="J83" s="1106"/>
      <c r="K83" s="1106"/>
      <c r="L83" s="1106"/>
      <c r="M83" s="1106"/>
      <c r="N83" s="1106"/>
    </row>
    <row r="84" spans="1:14" x14ac:dyDescent="0.25">
      <c r="A84" s="1106"/>
      <c r="B84" s="1106"/>
      <c r="C84" s="1106"/>
      <c r="D84" s="1106"/>
      <c r="E84" s="1106"/>
      <c r="F84" s="1106"/>
      <c r="G84" s="1106"/>
      <c r="H84" s="1106"/>
      <c r="I84" s="1106"/>
      <c r="J84" s="1106"/>
      <c r="K84" s="1106"/>
      <c r="L84" s="1106"/>
      <c r="M84" s="1106"/>
      <c r="N84" s="1106"/>
    </row>
    <row r="85" spans="1:14" x14ac:dyDescent="0.25">
      <c r="A85" s="1106"/>
      <c r="B85" s="1106"/>
      <c r="C85" s="1106"/>
      <c r="D85" s="1106"/>
      <c r="E85" s="1106"/>
      <c r="F85" s="1106"/>
      <c r="G85" s="1106"/>
      <c r="H85" s="1106"/>
      <c r="I85" s="1106"/>
      <c r="J85" s="1106"/>
      <c r="K85" s="1106"/>
      <c r="L85" s="1106"/>
      <c r="M85" s="1106"/>
      <c r="N85" s="1106"/>
    </row>
    <row r="86" spans="1:14" x14ac:dyDescent="0.25">
      <c r="A86" s="1106"/>
      <c r="B86" s="1106"/>
      <c r="C86" s="1106"/>
      <c r="D86" s="1106"/>
      <c r="E86" s="1106"/>
      <c r="F86" s="1106"/>
      <c r="G86" s="1106"/>
      <c r="H86" s="1106"/>
      <c r="I86" s="1106"/>
      <c r="J86" s="1106"/>
      <c r="K86" s="1106"/>
      <c r="L86" s="1106"/>
      <c r="M86" s="1106"/>
      <c r="N86" s="1106"/>
    </row>
    <row r="87" spans="1:14" x14ac:dyDescent="0.25">
      <c r="A87" s="1106"/>
      <c r="B87" s="1106"/>
      <c r="C87" s="1106"/>
      <c r="D87" s="1106"/>
      <c r="E87" s="1106"/>
      <c r="F87" s="1106"/>
      <c r="G87" s="1106"/>
      <c r="H87" s="1106"/>
      <c r="I87" s="1106"/>
      <c r="J87" s="1106"/>
      <c r="K87" s="1106"/>
      <c r="L87" s="1106"/>
      <c r="M87" s="1106"/>
      <c r="N87" s="1106"/>
    </row>
    <row r="88" spans="1:14" x14ac:dyDescent="0.25">
      <c r="A88" s="1106"/>
      <c r="B88" s="1106"/>
      <c r="C88" s="1106"/>
      <c r="D88" s="1106"/>
      <c r="E88" s="1106"/>
      <c r="F88" s="1106"/>
      <c r="G88" s="1106"/>
      <c r="H88" s="1106"/>
      <c r="I88" s="1106"/>
      <c r="J88" s="1106"/>
      <c r="K88" s="1106"/>
      <c r="L88" s="1106"/>
      <c r="M88" s="1106"/>
      <c r="N88" s="1106"/>
    </row>
    <row r="89" spans="1:14" x14ac:dyDescent="0.25">
      <c r="A89" s="1106"/>
      <c r="B89" s="1106"/>
      <c r="C89" s="1106"/>
      <c r="D89" s="1106"/>
      <c r="E89" s="1106"/>
      <c r="F89" s="1106"/>
      <c r="G89" s="1106"/>
      <c r="H89" s="1106"/>
      <c r="I89" s="1106"/>
      <c r="J89" s="1106"/>
      <c r="K89" s="1106"/>
      <c r="L89" s="1106"/>
      <c r="M89" s="1106"/>
      <c r="N89" s="1106"/>
    </row>
    <row r="90" spans="1:14" x14ac:dyDescent="0.25">
      <c r="A90" s="1106"/>
      <c r="B90" s="1106"/>
      <c r="C90" s="1106"/>
      <c r="D90" s="1106"/>
      <c r="E90" s="1106"/>
      <c r="F90" s="1106"/>
      <c r="G90" s="1106"/>
      <c r="H90" s="1106"/>
      <c r="I90" s="1106"/>
      <c r="J90" s="1106"/>
      <c r="K90" s="1106"/>
      <c r="L90" s="1106"/>
      <c r="M90" s="1106"/>
      <c r="N90" s="1106"/>
    </row>
    <row r="91" spans="1:14" x14ac:dyDescent="0.25">
      <c r="A91" s="1106"/>
      <c r="B91" s="1106"/>
      <c r="C91" s="1106"/>
      <c r="D91" s="1106"/>
      <c r="E91" s="1106"/>
      <c r="F91" s="1106"/>
      <c r="G91" s="1106"/>
      <c r="H91" s="1106"/>
      <c r="I91" s="1106"/>
      <c r="J91" s="1106"/>
      <c r="K91" s="1106"/>
      <c r="L91" s="1106"/>
      <c r="M91" s="1106"/>
      <c r="N91" s="1106"/>
    </row>
    <row r="92" spans="1:14" x14ac:dyDescent="0.25">
      <c r="A92" s="1106"/>
      <c r="B92" s="1106"/>
      <c r="C92" s="1106"/>
      <c r="D92" s="1106"/>
      <c r="E92" s="1106"/>
      <c r="F92" s="1106"/>
      <c r="G92" s="1106"/>
      <c r="H92" s="1106"/>
      <c r="I92" s="1106"/>
      <c r="J92" s="1106"/>
      <c r="K92" s="1106"/>
      <c r="L92" s="1106"/>
      <c r="M92" s="1106"/>
      <c r="N92" s="1106"/>
    </row>
    <row r="93" spans="1:14" x14ac:dyDescent="0.25">
      <c r="A93" s="1106"/>
      <c r="B93" s="1106"/>
      <c r="C93" s="1106"/>
      <c r="D93" s="1106"/>
      <c r="E93" s="1106"/>
      <c r="F93" s="1106"/>
      <c r="G93" s="1106"/>
      <c r="H93" s="1106"/>
      <c r="I93" s="1106"/>
      <c r="J93" s="1106"/>
      <c r="K93" s="1106"/>
      <c r="L93" s="1106"/>
      <c r="M93" s="1106"/>
      <c r="N93" s="1106"/>
    </row>
    <row r="94" spans="1:14" x14ac:dyDescent="0.25">
      <c r="A94" s="1106"/>
      <c r="B94" s="1106"/>
      <c r="C94" s="1106"/>
      <c r="D94" s="1106"/>
      <c r="E94" s="1106"/>
      <c r="F94" s="1106"/>
      <c r="G94" s="1106"/>
      <c r="H94" s="1106"/>
      <c r="I94" s="1106"/>
      <c r="J94" s="1106"/>
      <c r="K94" s="1106"/>
      <c r="L94" s="1106"/>
      <c r="M94" s="1106"/>
      <c r="N94" s="1106"/>
    </row>
    <row r="95" spans="1:14" x14ac:dyDescent="0.25">
      <c r="A95" s="1106"/>
      <c r="B95" s="1106"/>
      <c r="C95" s="1106"/>
      <c r="D95" s="1106"/>
      <c r="E95" s="1106"/>
      <c r="F95" s="1106"/>
      <c r="G95" s="1106"/>
      <c r="H95" s="1106"/>
      <c r="I95" s="1106"/>
      <c r="J95" s="1106"/>
      <c r="K95" s="1106"/>
      <c r="L95" s="1106"/>
      <c r="M95" s="1106"/>
      <c r="N95" s="1106"/>
    </row>
    <row r="96" spans="1:14" x14ac:dyDescent="0.25">
      <c r="A96" s="1106"/>
      <c r="B96" s="1106"/>
      <c r="C96" s="1106"/>
      <c r="D96" s="1106"/>
      <c r="E96" s="1106"/>
      <c r="F96" s="1106"/>
      <c r="G96" s="1106"/>
      <c r="H96" s="1106"/>
      <c r="I96" s="1106"/>
      <c r="J96" s="1106"/>
      <c r="K96" s="1106"/>
      <c r="L96" s="1106"/>
      <c r="M96" s="1106"/>
      <c r="N96" s="1106"/>
    </row>
    <row r="97" spans="1:14" x14ac:dyDescent="0.25">
      <c r="A97" s="1106"/>
      <c r="B97" s="1106"/>
      <c r="C97" s="1106"/>
      <c r="D97" s="1106"/>
      <c r="E97" s="1106"/>
      <c r="F97" s="1106"/>
      <c r="G97" s="1106"/>
      <c r="H97" s="1106"/>
      <c r="I97" s="1106"/>
      <c r="J97" s="1106"/>
      <c r="K97" s="1106"/>
      <c r="L97" s="1106"/>
      <c r="M97" s="1106"/>
      <c r="N97" s="1106"/>
    </row>
    <row r="98" spans="1:14" x14ac:dyDescent="0.25">
      <c r="A98" s="1106"/>
      <c r="B98" s="1106"/>
      <c r="C98" s="1106"/>
      <c r="D98" s="1106"/>
      <c r="E98" s="1106"/>
      <c r="F98" s="1106"/>
      <c r="G98" s="1106"/>
      <c r="H98" s="1106"/>
      <c r="I98" s="1106"/>
      <c r="J98" s="1106"/>
      <c r="K98" s="1106"/>
      <c r="L98" s="1106"/>
      <c r="M98" s="1106"/>
      <c r="N98" s="1106"/>
    </row>
    <row r="99" spans="1:14" x14ac:dyDescent="0.25">
      <c r="A99" s="1106"/>
      <c r="B99" s="1106"/>
      <c r="C99" s="1106"/>
      <c r="D99" s="1106"/>
      <c r="E99" s="1106"/>
      <c r="F99" s="1106"/>
      <c r="G99" s="1106"/>
      <c r="H99" s="1106"/>
      <c r="I99" s="1106"/>
      <c r="J99" s="1106"/>
      <c r="K99" s="1106"/>
      <c r="L99" s="1106"/>
      <c r="M99" s="1106"/>
      <c r="N99" s="1106"/>
    </row>
    <row r="100" spans="1:14" x14ac:dyDescent="0.25">
      <c r="A100" s="1106"/>
      <c r="B100" s="1106"/>
      <c r="C100" s="1106"/>
      <c r="D100" s="1106"/>
      <c r="E100" s="1106"/>
      <c r="F100" s="1106"/>
      <c r="G100" s="1106"/>
      <c r="H100" s="1106"/>
      <c r="I100" s="1106"/>
      <c r="J100" s="1106"/>
      <c r="K100" s="1106"/>
      <c r="L100" s="1106"/>
      <c r="M100" s="1106"/>
      <c r="N100" s="1106"/>
    </row>
    <row r="101" spans="1:14" x14ac:dyDescent="0.25">
      <c r="A101" s="1106"/>
      <c r="B101" s="1106"/>
      <c r="C101" s="1106"/>
      <c r="D101" s="1106"/>
      <c r="E101" s="1106"/>
      <c r="F101" s="1106"/>
      <c r="G101" s="1106"/>
      <c r="H101" s="1106"/>
      <c r="I101" s="1106"/>
      <c r="J101" s="1106"/>
      <c r="K101" s="1106"/>
      <c r="L101" s="1106"/>
      <c r="M101" s="1106"/>
      <c r="N101" s="1106"/>
    </row>
    <row r="102" spans="1:14" x14ac:dyDescent="0.25">
      <c r="A102" s="1106"/>
      <c r="B102" s="1106"/>
      <c r="C102" s="1106"/>
      <c r="D102" s="1106"/>
      <c r="E102" s="1106"/>
      <c r="F102" s="1106"/>
      <c r="G102" s="1106"/>
      <c r="H102" s="1106"/>
      <c r="I102" s="1106"/>
      <c r="J102" s="1106"/>
      <c r="K102" s="1106"/>
      <c r="L102" s="1106"/>
      <c r="M102" s="1106"/>
      <c r="N102" s="1106"/>
    </row>
    <row r="103" spans="1:14" x14ac:dyDescent="0.25">
      <c r="A103" s="1106"/>
      <c r="B103" s="1106"/>
      <c r="C103" s="1106"/>
      <c r="D103" s="1106"/>
      <c r="E103" s="1106"/>
      <c r="F103" s="1106"/>
      <c r="G103" s="1106"/>
      <c r="H103" s="1106"/>
      <c r="I103" s="1106"/>
      <c r="J103" s="1106"/>
      <c r="K103" s="1106"/>
      <c r="L103" s="1106"/>
      <c r="M103" s="1106"/>
      <c r="N103" s="1106"/>
    </row>
    <row r="104" spans="1:14" x14ac:dyDescent="0.25">
      <c r="A104" s="1106"/>
      <c r="B104" s="1106"/>
      <c r="C104" s="1106"/>
      <c r="D104" s="1106"/>
      <c r="E104" s="1106"/>
      <c r="F104" s="1106"/>
      <c r="G104" s="1106"/>
      <c r="H104" s="1106"/>
      <c r="I104" s="1106"/>
      <c r="J104" s="1106"/>
      <c r="K104" s="1106"/>
      <c r="L104" s="1106"/>
      <c r="M104" s="1106"/>
      <c r="N104" s="1106"/>
    </row>
    <row r="105" spans="1:14" x14ac:dyDescent="0.25">
      <c r="A105" s="1106"/>
      <c r="B105" s="1106"/>
      <c r="C105" s="1106"/>
      <c r="D105" s="1106"/>
      <c r="E105" s="1106"/>
      <c r="F105" s="1106"/>
      <c r="G105" s="1106"/>
      <c r="H105" s="1106"/>
      <c r="I105" s="1106"/>
      <c r="J105" s="1106"/>
      <c r="K105" s="1106"/>
      <c r="L105" s="1106"/>
      <c r="M105" s="1106"/>
      <c r="N105" s="1106"/>
    </row>
    <row r="106" spans="1:14" x14ac:dyDescent="0.25">
      <c r="A106" s="1106"/>
      <c r="B106" s="1106"/>
      <c r="C106" s="1106"/>
      <c r="D106" s="1106"/>
      <c r="E106" s="1106"/>
      <c r="F106" s="1106"/>
      <c r="G106" s="1106"/>
      <c r="H106" s="1106"/>
      <c r="I106" s="1106"/>
      <c r="J106" s="1106"/>
      <c r="K106" s="1106"/>
      <c r="L106" s="1106"/>
      <c r="M106" s="1106"/>
      <c r="N106" s="1106"/>
    </row>
    <row r="107" spans="1:14" x14ac:dyDescent="0.25">
      <c r="A107" s="1106"/>
      <c r="B107" s="1106"/>
      <c r="C107" s="1106"/>
      <c r="D107" s="1106"/>
      <c r="E107" s="1106"/>
      <c r="F107" s="1106"/>
      <c r="G107" s="1106"/>
      <c r="H107" s="1106"/>
      <c r="I107" s="1106"/>
      <c r="J107" s="1106"/>
      <c r="K107" s="1106"/>
      <c r="L107" s="1106"/>
      <c r="M107" s="1106"/>
      <c r="N107" s="1106"/>
    </row>
    <row r="108" spans="1:14" x14ac:dyDescent="0.25">
      <c r="A108" s="1106"/>
      <c r="B108" s="1106"/>
      <c r="C108" s="1106"/>
      <c r="D108" s="1106"/>
      <c r="E108" s="1106"/>
      <c r="F108" s="1106"/>
      <c r="G108" s="1106"/>
      <c r="H108" s="1106"/>
      <c r="I108" s="1106"/>
      <c r="J108" s="1106"/>
      <c r="K108" s="1106"/>
      <c r="L108" s="1106"/>
      <c r="M108" s="1106"/>
      <c r="N108" s="1106"/>
    </row>
    <row r="109" spans="1:14" x14ac:dyDescent="0.25">
      <c r="A109" s="1106"/>
      <c r="B109" s="1106"/>
      <c r="C109" s="1106"/>
      <c r="D109" s="1106"/>
      <c r="E109" s="1106"/>
      <c r="F109" s="1106"/>
      <c r="G109" s="1106"/>
      <c r="H109" s="1106"/>
      <c r="I109" s="1106"/>
      <c r="J109" s="1106"/>
      <c r="K109" s="1106"/>
      <c r="L109" s="1106"/>
      <c r="M109" s="1106"/>
      <c r="N109" s="1106"/>
    </row>
    <row r="110" spans="1:14" x14ac:dyDescent="0.25">
      <c r="A110" s="1106"/>
      <c r="B110" s="1106"/>
      <c r="C110" s="1106"/>
      <c r="D110" s="1106"/>
      <c r="E110" s="1106"/>
      <c r="F110" s="1106"/>
      <c r="G110" s="1106"/>
      <c r="H110" s="1106"/>
      <c r="I110" s="1106"/>
      <c r="J110" s="1106"/>
      <c r="K110" s="1106"/>
      <c r="L110" s="1106"/>
      <c r="M110" s="1106"/>
      <c r="N110" s="1106"/>
    </row>
    <row r="111" spans="1:14" x14ac:dyDescent="0.25">
      <c r="A111" s="1106"/>
      <c r="B111" s="1106"/>
      <c r="C111" s="1106"/>
      <c r="D111" s="1106"/>
      <c r="E111" s="1106"/>
      <c r="F111" s="1106"/>
      <c r="G111" s="1106"/>
      <c r="H111" s="1106"/>
      <c r="I111" s="1106"/>
      <c r="J111" s="1106"/>
      <c r="K111" s="1106"/>
      <c r="L111" s="1106"/>
      <c r="M111" s="1106"/>
      <c r="N111" s="1106"/>
    </row>
    <row r="112" spans="1:14" x14ac:dyDescent="0.25">
      <c r="A112" s="1106"/>
      <c r="B112" s="1106"/>
      <c r="C112" s="1106"/>
      <c r="D112" s="1106"/>
      <c r="E112" s="1106"/>
      <c r="F112" s="1106"/>
      <c r="G112" s="1106"/>
      <c r="H112" s="1106"/>
      <c r="I112" s="1106"/>
      <c r="J112" s="1106"/>
      <c r="K112" s="1106"/>
      <c r="L112" s="1106"/>
      <c r="M112" s="1106"/>
      <c r="N112" s="1106"/>
    </row>
    <row r="113" spans="1:14" x14ac:dyDescent="0.25">
      <c r="A113" s="1106"/>
      <c r="B113" s="1106"/>
      <c r="C113" s="1106"/>
      <c r="D113" s="1106"/>
      <c r="E113" s="1106"/>
      <c r="F113" s="1106"/>
      <c r="G113" s="1106"/>
      <c r="H113" s="1106"/>
      <c r="I113" s="1106"/>
      <c r="J113" s="1106"/>
      <c r="K113" s="1106"/>
      <c r="L113" s="1106"/>
      <c r="M113" s="1106"/>
      <c r="N113" s="1106"/>
    </row>
    <row r="114" spans="1:14" x14ac:dyDescent="0.25">
      <c r="A114" s="1106"/>
      <c r="B114" s="1106"/>
      <c r="C114" s="1106"/>
      <c r="D114" s="1106"/>
      <c r="E114" s="1106"/>
      <c r="F114" s="1106"/>
      <c r="G114" s="1106"/>
      <c r="H114" s="1106"/>
      <c r="I114" s="1106"/>
      <c r="J114" s="1106"/>
      <c r="K114" s="1106"/>
      <c r="L114" s="1106"/>
      <c r="M114" s="1106"/>
      <c r="N114" s="1106"/>
    </row>
    <row r="115" spans="1:14" x14ac:dyDescent="0.25">
      <c r="A115" s="1106"/>
      <c r="B115" s="1106"/>
      <c r="C115" s="1106"/>
      <c r="D115" s="1106"/>
      <c r="E115" s="1106"/>
      <c r="F115" s="1106"/>
      <c r="G115" s="1106"/>
      <c r="H115" s="1106"/>
      <c r="I115" s="1106"/>
      <c r="J115" s="1106"/>
      <c r="K115" s="1106"/>
      <c r="L115" s="1106"/>
      <c r="M115" s="1106"/>
      <c r="N115" s="1106"/>
    </row>
    <row r="116" spans="1:14" x14ac:dyDescent="0.25">
      <c r="A116" s="1106"/>
      <c r="B116" s="1106"/>
      <c r="C116" s="1106"/>
      <c r="D116" s="1106"/>
      <c r="E116" s="1106"/>
      <c r="F116" s="1106"/>
      <c r="G116" s="1106"/>
      <c r="H116" s="1106"/>
      <c r="I116" s="1106"/>
      <c r="J116" s="1106"/>
      <c r="K116" s="1106"/>
      <c r="L116" s="1106"/>
      <c r="M116" s="1106"/>
      <c r="N116" s="1106"/>
    </row>
    <row r="117" spans="1:14" x14ac:dyDescent="0.25">
      <c r="A117" s="1106"/>
      <c r="B117" s="1106"/>
      <c r="C117" s="1106"/>
      <c r="D117" s="1106"/>
      <c r="E117" s="1106"/>
      <c r="F117" s="1106"/>
      <c r="G117" s="1106"/>
      <c r="H117" s="1106"/>
      <c r="I117" s="1106"/>
      <c r="J117" s="1106"/>
      <c r="K117" s="1106"/>
      <c r="L117" s="1106"/>
      <c r="M117" s="1106"/>
      <c r="N117" s="1106"/>
    </row>
    <row r="118" spans="1:14" x14ac:dyDescent="0.25">
      <c r="A118" s="1106"/>
      <c r="B118" s="1106"/>
      <c r="C118" s="1106"/>
      <c r="D118" s="1106"/>
      <c r="E118" s="1106"/>
      <c r="F118" s="1106"/>
      <c r="G118" s="1106"/>
      <c r="H118" s="1106"/>
      <c r="I118" s="1106"/>
      <c r="J118" s="1106"/>
      <c r="K118" s="1106"/>
      <c r="L118" s="1106"/>
      <c r="M118" s="1106"/>
      <c r="N118" s="1106"/>
    </row>
    <row r="119" spans="1:14" x14ac:dyDescent="0.25">
      <c r="A119" s="1106"/>
      <c r="B119" s="1106"/>
      <c r="C119" s="1106"/>
      <c r="D119" s="1106"/>
      <c r="E119" s="1106"/>
      <c r="F119" s="1106"/>
      <c r="G119" s="1106"/>
      <c r="H119" s="1106"/>
      <c r="I119" s="1106"/>
      <c r="J119" s="1106"/>
      <c r="K119" s="1106"/>
      <c r="L119" s="1106"/>
      <c r="M119" s="1106"/>
      <c r="N119" s="1106"/>
    </row>
    <row r="120" spans="1:14" x14ac:dyDescent="0.25">
      <c r="A120" s="1106"/>
      <c r="B120" s="1106"/>
      <c r="C120" s="1106"/>
      <c r="D120" s="1106"/>
      <c r="E120" s="1106"/>
      <c r="F120" s="1106"/>
      <c r="G120" s="1106"/>
      <c r="H120" s="1106"/>
      <c r="I120" s="1106"/>
      <c r="J120" s="1106"/>
      <c r="K120" s="1106"/>
      <c r="L120" s="1106"/>
      <c r="M120" s="1106"/>
      <c r="N120" s="1106"/>
    </row>
    <row r="121" spans="1:14" x14ac:dyDescent="0.25">
      <c r="A121" s="1106"/>
      <c r="B121" s="1106"/>
      <c r="C121" s="1106"/>
      <c r="D121" s="1106"/>
      <c r="E121" s="1106"/>
      <c r="F121" s="1106"/>
      <c r="G121" s="1106"/>
      <c r="H121" s="1106"/>
      <c r="I121" s="1106"/>
      <c r="J121" s="1106"/>
      <c r="K121" s="1106"/>
      <c r="L121" s="1106"/>
      <c r="M121" s="1106"/>
      <c r="N121" s="1106"/>
    </row>
    <row r="122" spans="1:14" x14ac:dyDescent="0.25">
      <c r="A122" s="1106"/>
      <c r="B122" s="1106"/>
      <c r="C122" s="1106"/>
      <c r="D122" s="1106"/>
      <c r="E122" s="1106"/>
      <c r="F122" s="1106"/>
      <c r="G122" s="1106"/>
      <c r="H122" s="1106"/>
      <c r="I122" s="1106"/>
      <c r="J122" s="1106"/>
      <c r="K122" s="1106"/>
      <c r="L122" s="1106"/>
      <c r="M122" s="1106"/>
      <c r="N122" s="1106"/>
    </row>
    <row r="123" spans="1:14" x14ac:dyDescent="0.25">
      <c r="A123" s="1106"/>
      <c r="B123" s="1106"/>
      <c r="C123" s="1106"/>
      <c r="D123" s="1106"/>
      <c r="E123" s="1106"/>
      <c r="F123" s="1106"/>
      <c r="G123" s="1106"/>
      <c r="H123" s="1106"/>
      <c r="I123" s="1106"/>
      <c r="J123" s="1106"/>
      <c r="K123" s="1106"/>
      <c r="L123" s="1106"/>
      <c r="M123" s="1106"/>
      <c r="N123" s="1106"/>
    </row>
    <row r="124" spans="1:14" x14ac:dyDescent="0.25">
      <c r="A124" s="1106"/>
      <c r="B124" s="1106"/>
      <c r="C124" s="1106"/>
      <c r="D124" s="1106"/>
      <c r="E124" s="1106"/>
      <c r="F124" s="1106"/>
      <c r="G124" s="1106"/>
      <c r="H124" s="1106"/>
      <c r="I124" s="1106"/>
      <c r="J124" s="1106"/>
      <c r="K124" s="1106"/>
      <c r="L124" s="1106"/>
      <c r="M124" s="1106"/>
      <c r="N124" s="1106"/>
    </row>
    <row r="125" spans="1:14" x14ac:dyDescent="0.25">
      <c r="A125" s="1106"/>
      <c r="B125" s="1106"/>
      <c r="C125" s="1106"/>
      <c r="D125" s="1106"/>
      <c r="E125" s="1106"/>
      <c r="F125" s="1106"/>
      <c r="G125" s="1106"/>
      <c r="H125" s="1106"/>
      <c r="I125" s="1106"/>
      <c r="J125" s="1106"/>
      <c r="K125" s="1106"/>
      <c r="L125" s="1106"/>
      <c r="M125" s="1106"/>
      <c r="N125" s="1106"/>
    </row>
    <row r="126" spans="1:14" x14ac:dyDescent="0.25">
      <c r="A126" s="1106"/>
      <c r="B126" s="1106"/>
      <c r="C126" s="1106"/>
      <c r="D126" s="1106"/>
      <c r="E126" s="1106"/>
      <c r="F126" s="1106"/>
      <c r="G126" s="1106"/>
      <c r="H126" s="1106"/>
      <c r="I126" s="1106"/>
      <c r="J126" s="1106"/>
      <c r="K126" s="1106"/>
      <c r="L126" s="1106"/>
      <c r="M126" s="1106"/>
      <c r="N126" s="1106"/>
    </row>
    <row r="127" spans="1:14" x14ac:dyDescent="0.25">
      <c r="A127" s="1106"/>
      <c r="B127" s="1106"/>
      <c r="C127" s="1106"/>
      <c r="D127" s="1106"/>
      <c r="E127" s="1106"/>
      <c r="F127" s="1106"/>
      <c r="G127" s="1106"/>
      <c r="H127" s="1106"/>
      <c r="I127" s="1106"/>
      <c r="J127" s="1106"/>
      <c r="K127" s="1106"/>
      <c r="L127" s="1106"/>
      <c r="M127" s="1106"/>
      <c r="N127" s="1106"/>
    </row>
    <row r="128" spans="1:14" x14ac:dyDescent="0.25">
      <c r="A128" s="1106"/>
      <c r="B128" s="1106"/>
      <c r="C128" s="1106"/>
      <c r="D128" s="1106"/>
      <c r="E128" s="1106"/>
      <c r="F128" s="1106"/>
      <c r="G128" s="1106"/>
      <c r="H128" s="1106"/>
      <c r="I128" s="1106"/>
      <c r="J128" s="1106"/>
      <c r="K128" s="1106"/>
      <c r="L128" s="1106"/>
      <c r="M128" s="1106"/>
      <c r="N128" s="1106"/>
    </row>
    <row r="129" spans="1:14" x14ac:dyDescent="0.25">
      <c r="A129" s="1106"/>
      <c r="B129" s="1106"/>
      <c r="C129" s="1106"/>
      <c r="D129" s="1106"/>
      <c r="E129" s="1106"/>
      <c r="F129" s="1106"/>
      <c r="G129" s="1106"/>
      <c r="H129" s="1106"/>
      <c r="I129" s="1106"/>
      <c r="J129" s="1106"/>
      <c r="K129" s="1106"/>
      <c r="L129" s="1106"/>
      <c r="M129" s="1106"/>
      <c r="N129" s="1106"/>
    </row>
    <row r="130" spans="1:14" x14ac:dyDescent="0.25">
      <c r="A130" s="1106"/>
      <c r="B130" s="1106"/>
      <c r="C130" s="1106"/>
      <c r="D130" s="1106"/>
      <c r="E130" s="1106"/>
      <c r="F130" s="1106"/>
      <c r="G130" s="1106"/>
      <c r="H130" s="1106"/>
      <c r="I130" s="1106"/>
      <c r="J130" s="1106"/>
      <c r="K130" s="1106"/>
      <c r="L130" s="1106"/>
      <c r="M130" s="1106"/>
      <c r="N130" s="1106"/>
    </row>
    <row r="131" spans="1:14" x14ac:dyDescent="0.25">
      <c r="A131" s="1106"/>
      <c r="B131" s="1106"/>
      <c r="C131" s="1106"/>
      <c r="D131" s="1106"/>
      <c r="E131" s="1106"/>
      <c r="F131" s="1106"/>
      <c r="G131" s="1106"/>
      <c r="H131" s="1106"/>
      <c r="I131" s="1106"/>
      <c r="J131" s="1106"/>
      <c r="K131" s="1106"/>
      <c r="L131" s="1106"/>
      <c r="M131" s="1106"/>
      <c r="N131" s="1106"/>
    </row>
    <row r="132" spans="1:14" x14ac:dyDescent="0.25">
      <c r="A132" s="1106"/>
      <c r="B132" s="1106"/>
      <c r="C132" s="1106"/>
      <c r="D132" s="1106"/>
      <c r="E132" s="1106"/>
      <c r="F132" s="1106"/>
      <c r="G132" s="1106"/>
      <c r="H132" s="1106"/>
      <c r="I132" s="1106"/>
      <c r="J132" s="1106"/>
      <c r="K132" s="1106"/>
      <c r="L132" s="1106"/>
      <c r="M132" s="1106"/>
      <c r="N132" s="1106"/>
    </row>
    <row r="133" spans="1:14" x14ac:dyDescent="0.25">
      <c r="A133" s="1106"/>
      <c r="B133" s="1106"/>
      <c r="C133" s="1106"/>
      <c r="D133" s="1106"/>
      <c r="E133" s="1106"/>
      <c r="F133" s="1106"/>
      <c r="G133" s="1106"/>
      <c r="H133" s="1106"/>
      <c r="I133" s="1106"/>
      <c r="J133" s="1106"/>
      <c r="K133" s="1106"/>
      <c r="L133" s="1106"/>
      <c r="M133" s="1106"/>
      <c r="N133" s="1106"/>
    </row>
    <row r="134" spans="1:14" x14ac:dyDescent="0.25">
      <c r="A134" s="1106"/>
      <c r="B134" s="1106"/>
      <c r="C134" s="1106"/>
      <c r="D134" s="1106"/>
      <c r="E134" s="1106"/>
      <c r="F134" s="1106"/>
      <c r="G134" s="1106"/>
      <c r="H134" s="1106"/>
      <c r="I134" s="1106"/>
      <c r="J134" s="1106"/>
      <c r="K134" s="1106"/>
      <c r="L134" s="1106"/>
      <c r="M134" s="1106"/>
      <c r="N134" s="1106"/>
    </row>
    <row r="135" spans="1:14" x14ac:dyDescent="0.25">
      <c r="A135" s="1106"/>
      <c r="B135" s="1106"/>
      <c r="C135" s="1106"/>
      <c r="D135" s="1106"/>
      <c r="E135" s="1106"/>
      <c r="F135" s="1106"/>
      <c r="G135" s="1106"/>
      <c r="H135" s="1106"/>
      <c r="I135" s="1106"/>
      <c r="J135" s="1106"/>
      <c r="K135" s="1106"/>
      <c r="L135" s="1106"/>
      <c r="M135" s="1106"/>
      <c r="N135" s="1106"/>
    </row>
    <row r="136" spans="1:14" x14ac:dyDescent="0.25">
      <c r="A136" s="1106"/>
      <c r="B136" s="1106"/>
      <c r="C136" s="1106"/>
      <c r="D136" s="1106"/>
      <c r="E136" s="1106"/>
      <c r="F136" s="1106"/>
      <c r="G136" s="1106"/>
      <c r="H136" s="1106"/>
      <c r="I136" s="1106"/>
      <c r="J136" s="1106"/>
      <c r="K136" s="1106"/>
      <c r="L136" s="1106"/>
      <c r="M136" s="1106"/>
      <c r="N136" s="1106"/>
    </row>
    <row r="137" spans="1:14" x14ac:dyDescent="0.25">
      <c r="A137" s="1106"/>
      <c r="B137" s="1106"/>
      <c r="C137" s="1106"/>
      <c r="D137" s="1106"/>
      <c r="E137" s="1106"/>
      <c r="F137" s="1106"/>
      <c r="G137" s="1106"/>
      <c r="H137" s="1106"/>
      <c r="I137" s="1106"/>
      <c r="J137" s="1106"/>
      <c r="K137" s="1106"/>
      <c r="L137" s="1106"/>
      <c r="M137" s="1106"/>
      <c r="N137" s="1106"/>
    </row>
    <row r="138" spans="1:14" x14ac:dyDescent="0.25">
      <c r="A138" s="1106"/>
      <c r="B138" s="1106"/>
      <c r="C138" s="1106"/>
      <c r="D138" s="1106"/>
      <c r="E138" s="1106"/>
      <c r="F138" s="1106"/>
      <c r="G138" s="1106"/>
      <c r="H138" s="1106"/>
      <c r="I138" s="1106"/>
      <c r="J138" s="1106"/>
      <c r="K138" s="1106"/>
      <c r="L138" s="1106"/>
      <c r="M138" s="1106"/>
      <c r="N138" s="1106"/>
    </row>
    <row r="139" spans="1:14" x14ac:dyDescent="0.25">
      <c r="A139" s="1106"/>
      <c r="B139" s="1106"/>
      <c r="C139" s="1106"/>
      <c r="D139" s="1106"/>
      <c r="E139" s="1106"/>
      <c r="F139" s="1106"/>
      <c r="G139" s="1106"/>
      <c r="H139" s="1106"/>
      <c r="I139" s="1106"/>
      <c r="J139" s="1106"/>
      <c r="K139" s="1106"/>
      <c r="L139" s="1106"/>
      <c r="M139" s="1106"/>
      <c r="N139" s="1106"/>
    </row>
    <row r="140" spans="1:14" x14ac:dyDescent="0.25">
      <c r="A140" s="1106"/>
      <c r="B140" s="1106"/>
      <c r="C140" s="1106"/>
      <c r="D140" s="1106"/>
      <c r="E140" s="1106"/>
      <c r="F140" s="1106"/>
      <c r="G140" s="1106"/>
      <c r="H140" s="1106"/>
      <c r="I140" s="1106"/>
      <c r="J140" s="1106"/>
      <c r="K140" s="1106"/>
      <c r="L140" s="1106"/>
      <c r="M140" s="1106"/>
      <c r="N140" s="1106"/>
    </row>
    <row r="141" spans="1:14" x14ac:dyDescent="0.25">
      <c r="A141" s="1106"/>
      <c r="B141" s="1106"/>
      <c r="C141" s="1106"/>
      <c r="D141" s="1106"/>
      <c r="E141" s="1106"/>
      <c r="F141" s="1106"/>
      <c r="G141" s="1106"/>
      <c r="H141" s="1106"/>
      <c r="I141" s="1106"/>
      <c r="J141" s="1106"/>
      <c r="K141" s="1106"/>
      <c r="L141" s="1106"/>
      <c r="M141" s="1106"/>
      <c r="N141" s="1106"/>
    </row>
    <row r="142" spans="1:14" x14ac:dyDescent="0.25">
      <c r="A142" s="1106"/>
      <c r="B142" s="1106"/>
      <c r="C142" s="1106"/>
      <c r="D142" s="1106"/>
      <c r="E142" s="1106"/>
      <c r="F142" s="1106"/>
      <c r="G142" s="1106"/>
      <c r="H142" s="1106"/>
      <c r="I142" s="1106"/>
      <c r="J142" s="1106"/>
      <c r="K142" s="1106"/>
      <c r="L142" s="1106"/>
      <c r="M142" s="1106"/>
      <c r="N142" s="1106"/>
    </row>
    <row r="143" spans="1:14" x14ac:dyDescent="0.25">
      <c r="A143" s="1106"/>
      <c r="B143" s="1106"/>
      <c r="C143" s="1106"/>
      <c r="D143" s="1106"/>
      <c r="E143" s="1106"/>
      <c r="F143" s="1106"/>
      <c r="G143" s="1106"/>
      <c r="H143" s="1106"/>
      <c r="I143" s="1106"/>
      <c r="J143" s="1106"/>
      <c r="K143" s="1106"/>
      <c r="L143" s="1106"/>
      <c r="M143" s="1106"/>
      <c r="N143" s="1106"/>
    </row>
    <row r="144" spans="1:14" x14ac:dyDescent="0.25">
      <c r="A144" s="1106"/>
      <c r="B144" s="1106"/>
      <c r="C144" s="1106"/>
      <c r="D144" s="1106"/>
      <c r="E144" s="1106"/>
      <c r="F144" s="1106"/>
      <c r="G144" s="1106"/>
      <c r="H144" s="1106"/>
      <c r="I144" s="1106"/>
      <c r="J144" s="1106"/>
      <c r="K144" s="1106"/>
      <c r="L144" s="1106"/>
      <c r="M144" s="1106"/>
      <c r="N144" s="1106"/>
    </row>
    <row r="145" spans="1:14" x14ac:dyDescent="0.25">
      <c r="A145" s="1106"/>
      <c r="B145" s="1106"/>
      <c r="C145" s="1106"/>
      <c r="D145" s="1106"/>
      <c r="E145" s="1106"/>
      <c r="F145" s="1106"/>
      <c r="G145" s="1106"/>
      <c r="H145" s="1106"/>
      <c r="I145" s="1106"/>
      <c r="J145" s="1106"/>
      <c r="K145" s="1106"/>
      <c r="L145" s="1106"/>
      <c r="M145" s="1106"/>
      <c r="N145" s="1106"/>
    </row>
    <row r="146" spans="1:14" x14ac:dyDescent="0.25">
      <c r="A146" s="1106"/>
      <c r="B146" s="1106"/>
      <c r="C146" s="1106"/>
      <c r="D146" s="1106"/>
      <c r="E146" s="1106"/>
      <c r="F146" s="1106"/>
      <c r="G146" s="1106"/>
      <c r="H146" s="1106"/>
      <c r="I146" s="1106"/>
      <c r="J146" s="1106"/>
      <c r="K146" s="1106"/>
      <c r="L146" s="1106"/>
      <c r="M146" s="1106"/>
      <c r="N146" s="1106"/>
    </row>
    <row r="147" spans="1:14" x14ac:dyDescent="0.25">
      <c r="A147" s="1106"/>
      <c r="B147" s="1106"/>
      <c r="C147" s="1106"/>
      <c r="D147" s="1106"/>
      <c r="E147" s="1106"/>
      <c r="F147" s="1106"/>
      <c r="G147" s="1106"/>
      <c r="H147" s="1106"/>
      <c r="I147" s="1106"/>
      <c r="J147" s="1106"/>
      <c r="K147" s="1106"/>
      <c r="L147" s="1106"/>
      <c r="M147" s="1106"/>
      <c r="N147" s="1106"/>
    </row>
    <row r="148" spans="1:14" x14ac:dyDescent="0.25">
      <c r="A148" s="1106"/>
      <c r="B148" s="1106"/>
      <c r="C148" s="1106"/>
      <c r="D148" s="1106"/>
      <c r="E148" s="1106"/>
      <c r="F148" s="1106"/>
      <c r="G148" s="1106"/>
      <c r="H148" s="1106"/>
      <c r="I148" s="1106"/>
      <c r="J148" s="1106"/>
      <c r="K148" s="1106"/>
      <c r="L148" s="1106"/>
      <c r="M148" s="1106"/>
      <c r="N148" s="1106"/>
    </row>
    <row r="149" spans="1:14" x14ac:dyDescent="0.25">
      <c r="A149" s="1106"/>
      <c r="B149" s="1106"/>
      <c r="C149" s="1106"/>
      <c r="D149" s="1106"/>
      <c r="E149" s="1106"/>
      <c r="F149" s="1106"/>
      <c r="G149" s="1106"/>
      <c r="H149" s="1106"/>
      <c r="I149" s="1106"/>
      <c r="J149" s="1106"/>
      <c r="K149" s="1106"/>
      <c r="L149" s="1106"/>
      <c r="M149" s="1106"/>
      <c r="N149" s="1106"/>
    </row>
    <row r="150" spans="1:14" x14ac:dyDescent="0.25">
      <c r="A150" s="1106"/>
      <c r="B150" s="1106"/>
      <c r="C150" s="1106"/>
      <c r="D150" s="1106"/>
      <c r="E150" s="1106"/>
      <c r="F150" s="1106"/>
      <c r="G150" s="1106"/>
      <c r="H150" s="1106"/>
      <c r="I150" s="1106"/>
      <c r="J150" s="1106"/>
      <c r="K150" s="1106"/>
      <c r="L150" s="1106"/>
      <c r="M150" s="1106"/>
      <c r="N150" s="1106"/>
    </row>
    <row r="151" spans="1:14" x14ac:dyDescent="0.25">
      <c r="A151" s="1106"/>
      <c r="B151" s="1106"/>
      <c r="C151" s="1106"/>
      <c r="D151" s="1106"/>
      <c r="E151" s="1106"/>
      <c r="F151" s="1106"/>
      <c r="G151" s="1106"/>
      <c r="H151" s="1106"/>
      <c r="I151" s="1106"/>
      <c r="J151" s="1106"/>
      <c r="K151" s="1106"/>
      <c r="L151" s="1106"/>
      <c r="M151" s="1106"/>
      <c r="N151" s="1106"/>
    </row>
    <row r="152" spans="1:14" x14ac:dyDescent="0.25">
      <c r="A152" s="1106"/>
      <c r="B152" s="1106"/>
      <c r="C152" s="1106"/>
      <c r="D152" s="1106"/>
      <c r="E152" s="1106"/>
      <c r="F152" s="1106"/>
      <c r="G152" s="1106"/>
      <c r="H152" s="1106"/>
      <c r="I152" s="1106"/>
      <c r="J152" s="1106"/>
      <c r="K152" s="1106"/>
      <c r="L152" s="1106"/>
      <c r="M152" s="1106"/>
      <c r="N152" s="1106"/>
    </row>
    <row r="153" spans="1:14" x14ac:dyDescent="0.25">
      <c r="A153" s="1106"/>
      <c r="B153" s="1106"/>
      <c r="C153" s="1106"/>
      <c r="D153" s="1106"/>
      <c r="E153" s="1106"/>
      <c r="F153" s="1106"/>
      <c r="G153" s="1106"/>
      <c r="H153" s="1106"/>
      <c r="I153" s="1106"/>
      <c r="J153" s="1106"/>
      <c r="K153" s="1106"/>
      <c r="L153" s="1106"/>
      <c r="M153" s="1106"/>
      <c r="N153" s="1106"/>
    </row>
    <row r="154" spans="1:14" x14ac:dyDescent="0.25">
      <c r="A154" s="1106"/>
      <c r="B154" s="1106"/>
      <c r="C154" s="1106"/>
      <c r="D154" s="1106"/>
      <c r="E154" s="1106"/>
      <c r="F154" s="1106"/>
      <c r="G154" s="1106"/>
      <c r="H154" s="1106"/>
      <c r="I154" s="1106"/>
      <c r="J154" s="1106"/>
      <c r="K154" s="1106"/>
      <c r="L154" s="1106"/>
      <c r="M154" s="1106"/>
      <c r="N154" s="1106"/>
    </row>
    <row r="155" spans="1:14" x14ac:dyDescent="0.25">
      <c r="A155" s="1106"/>
      <c r="B155" s="1106"/>
      <c r="C155" s="1106"/>
      <c r="D155" s="1106"/>
      <c r="E155" s="1106"/>
      <c r="F155" s="1106"/>
      <c r="G155" s="1106"/>
      <c r="H155" s="1106"/>
      <c r="I155" s="1106"/>
      <c r="J155" s="1106"/>
      <c r="K155" s="1106"/>
      <c r="L155" s="1106"/>
      <c r="M155" s="1106"/>
      <c r="N155" s="1106"/>
    </row>
    <row r="156" spans="1:14" x14ac:dyDescent="0.25">
      <c r="A156" s="1106"/>
      <c r="B156" s="1106"/>
      <c r="C156" s="1106"/>
      <c r="D156" s="1106"/>
      <c r="E156" s="1106"/>
      <c r="F156" s="1106"/>
      <c r="G156" s="1106"/>
      <c r="H156" s="1106"/>
      <c r="I156" s="1106"/>
      <c r="J156" s="1106"/>
      <c r="K156" s="1106"/>
      <c r="L156" s="1106"/>
      <c r="M156" s="1106"/>
      <c r="N156" s="1106"/>
    </row>
    <row r="157" spans="1:14" x14ac:dyDescent="0.25">
      <c r="A157" s="1106"/>
      <c r="B157" s="1106"/>
      <c r="C157" s="1106"/>
      <c r="D157" s="1106"/>
      <c r="E157" s="1106"/>
      <c r="F157" s="1106"/>
      <c r="G157" s="1106"/>
      <c r="H157" s="1106"/>
      <c r="I157" s="1106"/>
      <c r="J157" s="1106"/>
      <c r="K157" s="1106"/>
      <c r="L157" s="1106"/>
      <c r="M157" s="1106"/>
      <c r="N157" s="1106"/>
    </row>
    <row r="158" spans="1:14" x14ac:dyDescent="0.25">
      <c r="A158" s="1106"/>
      <c r="B158" s="1106"/>
      <c r="C158" s="1106"/>
      <c r="D158" s="1106"/>
      <c r="E158" s="1106"/>
      <c r="F158" s="1106"/>
      <c r="G158" s="1106"/>
      <c r="H158" s="1106"/>
      <c r="I158" s="1106"/>
      <c r="J158" s="1106"/>
      <c r="K158" s="1106"/>
      <c r="L158" s="1106"/>
      <c r="M158" s="1106"/>
      <c r="N158" s="1106"/>
    </row>
    <row r="159" spans="1:14" x14ac:dyDescent="0.25">
      <c r="A159" s="1106"/>
      <c r="B159" s="1106"/>
      <c r="C159" s="1106"/>
      <c r="D159" s="1106"/>
      <c r="E159" s="1106"/>
      <c r="F159" s="1106"/>
      <c r="G159" s="1106"/>
      <c r="H159" s="1106"/>
      <c r="I159" s="1106"/>
      <c r="J159" s="1106"/>
      <c r="K159" s="1106"/>
      <c r="L159" s="1106"/>
      <c r="M159" s="1106"/>
      <c r="N159" s="1106"/>
    </row>
    <row r="160" spans="1:14" x14ac:dyDescent="0.25">
      <c r="A160" s="1106"/>
      <c r="B160" s="1106"/>
      <c r="C160" s="1106"/>
      <c r="D160" s="1106"/>
      <c r="E160" s="1106"/>
      <c r="F160" s="1106"/>
      <c r="G160" s="1106"/>
      <c r="H160" s="1106"/>
      <c r="I160" s="1106"/>
      <c r="J160" s="1106"/>
      <c r="K160" s="1106"/>
      <c r="L160" s="1106"/>
      <c r="M160" s="1106"/>
      <c r="N160" s="1106"/>
    </row>
    <row r="161" spans="1:14" x14ac:dyDescent="0.25">
      <c r="A161" s="1106"/>
      <c r="B161" s="1106"/>
      <c r="C161" s="1106"/>
      <c r="D161" s="1106"/>
      <c r="E161" s="1106"/>
      <c r="F161" s="1106"/>
      <c r="G161" s="1106"/>
      <c r="H161" s="1106"/>
      <c r="I161" s="1106"/>
      <c r="J161" s="1106"/>
      <c r="K161" s="1106"/>
      <c r="L161" s="1106"/>
      <c r="M161" s="1106"/>
      <c r="N161" s="1106"/>
    </row>
    <row r="162" spans="1:14" x14ac:dyDescent="0.25">
      <c r="A162" s="1106"/>
      <c r="B162" s="1106"/>
      <c r="C162" s="1106"/>
      <c r="D162" s="1106"/>
      <c r="E162" s="1106"/>
      <c r="F162" s="1106"/>
      <c r="G162" s="1106"/>
      <c r="H162" s="1106"/>
      <c r="I162" s="1106"/>
      <c r="J162" s="1106"/>
      <c r="K162" s="1106"/>
      <c r="L162" s="1106"/>
      <c r="M162" s="1106"/>
      <c r="N162" s="1106"/>
    </row>
    <row r="163" spans="1:14" x14ac:dyDescent="0.25">
      <c r="A163" s="1106"/>
      <c r="B163" s="1106"/>
      <c r="C163" s="1106"/>
      <c r="D163" s="1106"/>
      <c r="E163" s="1106"/>
      <c r="F163" s="1106"/>
      <c r="G163" s="1106"/>
      <c r="H163" s="1106"/>
      <c r="I163" s="1106"/>
      <c r="J163" s="1106"/>
      <c r="K163" s="1106"/>
      <c r="L163" s="1106"/>
      <c r="M163" s="1106"/>
      <c r="N163" s="1106"/>
    </row>
    <row r="164" spans="1:14" x14ac:dyDescent="0.25">
      <c r="A164" s="1106"/>
      <c r="B164" s="1106"/>
      <c r="C164" s="1106"/>
      <c r="D164" s="1106"/>
      <c r="E164" s="1106"/>
      <c r="F164" s="1106"/>
      <c r="G164" s="1106"/>
      <c r="H164" s="1106"/>
      <c r="I164" s="1106"/>
      <c r="J164" s="1106"/>
      <c r="K164" s="1106"/>
      <c r="L164" s="1106"/>
      <c r="M164" s="1106"/>
      <c r="N164" s="1106"/>
    </row>
    <row r="165" spans="1:14" x14ac:dyDescent="0.25">
      <c r="A165" s="1106"/>
      <c r="B165" s="1106"/>
      <c r="C165" s="1106"/>
      <c r="D165" s="1106"/>
      <c r="E165" s="1106"/>
      <c r="F165" s="1106"/>
      <c r="G165" s="1106"/>
      <c r="H165" s="1106"/>
      <c r="I165" s="1106"/>
      <c r="J165" s="1106"/>
      <c r="K165" s="1106"/>
      <c r="L165" s="1106"/>
      <c r="M165" s="1106"/>
      <c r="N165" s="1106"/>
    </row>
    <row r="166" spans="1:14" x14ac:dyDescent="0.25">
      <c r="A166" s="1106"/>
      <c r="B166" s="1106"/>
      <c r="C166" s="1106"/>
      <c r="D166" s="1106"/>
      <c r="E166" s="1106"/>
      <c r="F166" s="1106"/>
      <c r="G166" s="1106"/>
      <c r="H166" s="1106"/>
      <c r="I166" s="1106"/>
      <c r="J166" s="1106"/>
      <c r="K166" s="1106"/>
      <c r="L166" s="1106"/>
      <c r="M166" s="1106"/>
      <c r="N166" s="1106"/>
    </row>
    <row r="167" spans="1:14" x14ac:dyDescent="0.25">
      <c r="A167" s="1106"/>
      <c r="B167" s="1106"/>
      <c r="C167" s="1106"/>
      <c r="D167" s="1106"/>
      <c r="E167" s="1106"/>
      <c r="F167" s="1106"/>
      <c r="G167" s="1106"/>
      <c r="H167" s="1106"/>
      <c r="I167" s="1106"/>
      <c r="J167" s="1106"/>
      <c r="K167" s="1106"/>
      <c r="L167" s="1106"/>
      <c r="M167" s="1106"/>
      <c r="N167" s="1106"/>
    </row>
    <row r="168" spans="1:14" x14ac:dyDescent="0.25">
      <c r="A168" s="1106"/>
      <c r="B168" s="1106"/>
      <c r="C168" s="1106"/>
      <c r="D168" s="1106"/>
      <c r="E168" s="1106"/>
      <c r="F168" s="1106"/>
      <c r="G168" s="1106"/>
      <c r="H168" s="1106"/>
      <c r="I168" s="1106"/>
      <c r="J168" s="1106"/>
      <c r="K168" s="1106"/>
      <c r="L168" s="1106"/>
      <c r="M168" s="1106"/>
      <c r="N168" s="1106"/>
    </row>
    <row r="169" spans="1:14" x14ac:dyDescent="0.25">
      <c r="A169" s="1106"/>
      <c r="B169" s="1106"/>
      <c r="C169" s="1106"/>
      <c r="D169" s="1106"/>
      <c r="E169" s="1106"/>
      <c r="F169" s="1106"/>
      <c r="G169" s="1106"/>
      <c r="H169" s="1106"/>
      <c r="I169" s="1106"/>
      <c r="J169" s="1106"/>
      <c r="K169" s="1106"/>
      <c r="L169" s="1106"/>
      <c r="M169" s="1106"/>
      <c r="N169" s="1106"/>
    </row>
    <row r="170" spans="1:14" x14ac:dyDescent="0.25">
      <c r="A170" s="1106"/>
      <c r="B170" s="1106"/>
      <c r="C170" s="1106"/>
      <c r="D170" s="1106"/>
      <c r="E170" s="1106"/>
      <c r="F170" s="1106"/>
      <c r="G170" s="1106"/>
      <c r="H170" s="1106"/>
      <c r="I170" s="1106"/>
      <c r="J170" s="1106"/>
      <c r="K170" s="1106"/>
      <c r="L170" s="1106"/>
      <c r="M170" s="1106"/>
      <c r="N170" s="1106"/>
    </row>
    <row r="171" spans="1:14" x14ac:dyDescent="0.25">
      <c r="A171" s="1106"/>
      <c r="B171" s="1106"/>
      <c r="C171" s="1106"/>
      <c r="D171" s="1106"/>
      <c r="E171" s="1106"/>
      <c r="F171" s="1106"/>
      <c r="G171" s="1106"/>
      <c r="H171" s="1106"/>
      <c r="I171" s="1106"/>
      <c r="J171" s="1106"/>
      <c r="K171" s="1106"/>
      <c r="L171" s="1106"/>
      <c r="M171" s="1106"/>
      <c r="N171" s="1106"/>
    </row>
    <row r="172" spans="1:14" x14ac:dyDescent="0.25">
      <c r="A172" s="1106"/>
      <c r="B172" s="1106"/>
      <c r="C172" s="1106"/>
      <c r="D172" s="1106"/>
      <c r="E172" s="1106"/>
      <c r="F172" s="1106"/>
      <c r="G172" s="1106"/>
      <c r="H172" s="1106"/>
      <c r="I172" s="1106"/>
      <c r="J172" s="1106"/>
      <c r="K172" s="1106"/>
      <c r="L172" s="1106"/>
      <c r="M172" s="1106"/>
      <c r="N172" s="1106"/>
    </row>
    <row r="173" spans="1:14" x14ac:dyDescent="0.25">
      <c r="A173" s="1106"/>
      <c r="B173" s="1106"/>
      <c r="C173" s="1106"/>
      <c r="D173" s="1106"/>
      <c r="E173" s="1106"/>
      <c r="F173" s="1106"/>
      <c r="G173" s="1106"/>
      <c r="H173" s="1106"/>
      <c r="I173" s="1106"/>
      <c r="J173" s="1106"/>
      <c r="K173" s="1106"/>
      <c r="L173" s="1106"/>
      <c r="M173" s="1106"/>
      <c r="N173" s="1106"/>
    </row>
    <row r="174" spans="1:14" x14ac:dyDescent="0.25">
      <c r="A174" s="1106"/>
      <c r="B174" s="1106"/>
      <c r="C174" s="1106"/>
      <c r="D174" s="1106"/>
      <c r="E174" s="1106"/>
      <c r="F174" s="1106"/>
      <c r="G174" s="1106"/>
      <c r="H174" s="1106"/>
      <c r="I174" s="1106"/>
      <c r="J174" s="1106"/>
      <c r="K174" s="1106"/>
      <c r="L174" s="1106"/>
      <c r="M174" s="1106"/>
      <c r="N174" s="1106"/>
    </row>
    <row r="175" spans="1:14" x14ac:dyDescent="0.25">
      <c r="A175" s="1106"/>
      <c r="B175" s="1106"/>
      <c r="C175" s="1106"/>
      <c r="D175" s="1106"/>
      <c r="E175" s="1106"/>
      <c r="F175" s="1106"/>
      <c r="G175" s="1106"/>
      <c r="H175" s="1106"/>
      <c r="I175" s="1106"/>
      <c r="J175" s="1106"/>
      <c r="K175" s="1106"/>
      <c r="L175" s="1106"/>
      <c r="M175" s="1106"/>
      <c r="N175" s="1106"/>
    </row>
    <row r="176" spans="1:14" x14ac:dyDescent="0.25">
      <c r="A176" s="1106"/>
      <c r="B176" s="1106"/>
      <c r="C176" s="1106"/>
      <c r="D176" s="1106"/>
      <c r="E176" s="1106"/>
      <c r="F176" s="1106"/>
      <c r="G176" s="1106"/>
      <c r="H176" s="1106"/>
      <c r="I176" s="1106"/>
      <c r="J176" s="1106"/>
      <c r="K176" s="1106"/>
      <c r="L176" s="1106"/>
      <c r="M176" s="1106"/>
      <c r="N176" s="1106"/>
    </row>
    <row r="177" spans="1:14" x14ac:dyDescent="0.25">
      <c r="A177" s="1106"/>
      <c r="B177" s="1106"/>
      <c r="C177" s="1106"/>
      <c r="D177" s="1106"/>
      <c r="E177" s="1106"/>
      <c r="F177" s="1106"/>
      <c r="G177" s="1106"/>
      <c r="H177" s="1106"/>
      <c r="I177" s="1106"/>
      <c r="J177" s="1106"/>
      <c r="K177" s="1106"/>
      <c r="L177" s="1106"/>
      <c r="M177" s="1106"/>
      <c r="N177" s="1106"/>
    </row>
    <row r="178" spans="1:14" x14ac:dyDescent="0.25">
      <c r="A178" s="1106"/>
      <c r="B178" s="1106"/>
      <c r="C178" s="1106"/>
      <c r="D178" s="1106"/>
      <c r="E178" s="1106"/>
      <c r="F178" s="1106"/>
      <c r="G178" s="1106"/>
      <c r="H178" s="1106"/>
      <c r="I178" s="1106"/>
      <c r="J178" s="1106"/>
      <c r="K178" s="1106"/>
      <c r="L178" s="1106"/>
      <c r="M178" s="1106"/>
      <c r="N178" s="1106"/>
    </row>
    <row r="179" spans="1:14" x14ac:dyDescent="0.25">
      <c r="A179" s="1106"/>
      <c r="B179" s="1106"/>
      <c r="C179" s="1106"/>
      <c r="D179" s="1106"/>
      <c r="E179" s="1106"/>
      <c r="F179" s="1106"/>
      <c r="G179" s="1106"/>
      <c r="H179" s="1106"/>
      <c r="I179" s="1106"/>
      <c r="J179" s="1106"/>
      <c r="K179" s="1106"/>
      <c r="L179" s="1106"/>
      <c r="M179" s="1106"/>
      <c r="N179" s="1106"/>
    </row>
    <row r="180" spans="1:14" x14ac:dyDescent="0.25">
      <c r="A180" s="1106"/>
      <c r="B180" s="1106"/>
      <c r="C180" s="1106"/>
      <c r="D180" s="1106"/>
      <c r="E180" s="1106"/>
      <c r="F180" s="1106"/>
      <c r="G180" s="1106"/>
      <c r="H180" s="1106"/>
      <c r="I180" s="1106"/>
      <c r="J180" s="1106"/>
      <c r="K180" s="1106"/>
      <c r="L180" s="1106"/>
      <c r="M180" s="1106"/>
      <c r="N180" s="1106"/>
    </row>
    <row r="181" spans="1:14" x14ac:dyDescent="0.25">
      <c r="A181" s="1106"/>
      <c r="B181" s="1106"/>
      <c r="C181" s="1106"/>
      <c r="D181" s="1106"/>
      <c r="E181" s="1106"/>
      <c r="F181" s="1106"/>
      <c r="G181" s="1106"/>
      <c r="H181" s="1106"/>
      <c r="I181" s="1106"/>
      <c r="J181" s="1106"/>
      <c r="K181" s="1106"/>
      <c r="L181" s="1106"/>
      <c r="M181" s="1106"/>
      <c r="N181" s="1106"/>
    </row>
    <row r="182" spans="1:14" x14ac:dyDescent="0.25">
      <c r="A182" s="1106"/>
      <c r="B182" s="1106"/>
      <c r="C182" s="1106"/>
      <c r="D182" s="1106"/>
      <c r="E182" s="1106"/>
      <c r="F182" s="1106"/>
      <c r="G182" s="1106"/>
      <c r="H182" s="1106"/>
      <c r="I182" s="1106"/>
      <c r="J182" s="1106"/>
      <c r="K182" s="1106"/>
      <c r="L182" s="1106"/>
      <c r="M182" s="1106"/>
      <c r="N182" s="1106"/>
    </row>
    <row r="183" spans="1:14" x14ac:dyDescent="0.25">
      <c r="A183" s="1106"/>
      <c r="B183" s="1106"/>
      <c r="C183" s="1106"/>
      <c r="D183" s="1106"/>
      <c r="E183" s="1106"/>
      <c r="F183" s="1106"/>
      <c r="G183" s="1106"/>
      <c r="H183" s="1106"/>
      <c r="I183" s="1106"/>
      <c r="J183" s="1106"/>
      <c r="K183" s="1106"/>
      <c r="L183" s="1106"/>
      <c r="M183" s="1106"/>
      <c r="N183" s="1106"/>
    </row>
    <row r="184" spans="1:14" x14ac:dyDescent="0.25">
      <c r="A184" s="1106"/>
      <c r="B184" s="1106"/>
      <c r="C184" s="1106"/>
      <c r="D184" s="1106"/>
      <c r="E184" s="1106"/>
      <c r="F184" s="1106"/>
      <c r="G184" s="1106"/>
      <c r="H184" s="1106"/>
      <c r="I184" s="1106"/>
      <c r="J184" s="1106"/>
      <c r="K184" s="1106"/>
      <c r="L184" s="1106"/>
      <c r="M184" s="1106"/>
      <c r="N184" s="1106"/>
    </row>
    <row r="185" spans="1:14" x14ac:dyDescent="0.25">
      <c r="A185" s="1106"/>
      <c r="B185" s="1106"/>
      <c r="C185" s="1106"/>
      <c r="D185" s="1106"/>
      <c r="E185" s="1106"/>
      <c r="F185" s="1106"/>
      <c r="G185" s="1106"/>
      <c r="H185" s="1106"/>
      <c r="I185" s="1106"/>
      <c r="J185" s="1106"/>
      <c r="K185" s="1106"/>
      <c r="L185" s="1106"/>
      <c r="M185" s="1106"/>
      <c r="N185" s="1106"/>
    </row>
    <row r="186" spans="1:14" x14ac:dyDescent="0.25">
      <c r="A186" s="1106"/>
      <c r="B186" s="1106"/>
      <c r="C186" s="1106"/>
      <c r="D186" s="1106"/>
      <c r="E186" s="1106"/>
      <c r="F186" s="1106"/>
      <c r="G186" s="1106"/>
      <c r="H186" s="1106"/>
      <c r="I186" s="1106"/>
      <c r="J186" s="1106"/>
      <c r="K186" s="1106"/>
      <c r="L186" s="1106"/>
      <c r="M186" s="1106"/>
      <c r="N186" s="1106"/>
    </row>
    <row r="187" spans="1:14" x14ac:dyDescent="0.25">
      <c r="A187" s="1106"/>
      <c r="B187" s="1106"/>
      <c r="C187" s="1106"/>
      <c r="D187" s="1106"/>
      <c r="E187" s="1106"/>
      <c r="F187" s="1106"/>
      <c r="G187" s="1106"/>
      <c r="H187" s="1106"/>
      <c r="I187" s="1106"/>
      <c r="J187" s="1106"/>
      <c r="K187" s="1106"/>
      <c r="L187" s="1106"/>
      <c r="M187" s="1106"/>
      <c r="N187" s="1106"/>
    </row>
    <row r="188" spans="1:14" x14ac:dyDescent="0.25">
      <c r="A188" s="1106"/>
      <c r="B188" s="1106"/>
      <c r="C188" s="1106"/>
      <c r="D188" s="1106"/>
      <c r="E188" s="1106"/>
      <c r="F188" s="1106"/>
      <c r="G188" s="1106"/>
      <c r="H188" s="1106"/>
      <c r="I188" s="1106"/>
      <c r="J188" s="1106"/>
      <c r="K188" s="1106"/>
      <c r="L188" s="1106"/>
      <c r="M188" s="1106"/>
      <c r="N188" s="1106"/>
    </row>
    <row r="189" spans="1:14" x14ac:dyDescent="0.25">
      <c r="A189" s="1106"/>
      <c r="B189" s="1106"/>
      <c r="C189" s="1106"/>
      <c r="D189" s="1106"/>
      <c r="E189" s="1106"/>
      <c r="F189" s="1106"/>
      <c r="G189" s="1106"/>
      <c r="H189" s="1106"/>
      <c r="I189" s="1106"/>
      <c r="J189" s="1106"/>
      <c r="K189" s="1106"/>
      <c r="L189" s="1106"/>
      <c r="M189" s="1106"/>
      <c r="N189" s="1106"/>
    </row>
    <row r="190" spans="1:14" x14ac:dyDescent="0.25">
      <c r="A190" s="1106"/>
      <c r="B190" s="1106"/>
      <c r="C190" s="1106"/>
      <c r="D190" s="1106"/>
      <c r="E190" s="1106"/>
      <c r="F190" s="1106"/>
      <c r="G190" s="1106"/>
      <c r="H190" s="1106"/>
      <c r="I190" s="1106"/>
      <c r="J190" s="1106"/>
      <c r="K190" s="1106"/>
      <c r="L190" s="1106"/>
      <c r="M190" s="1106"/>
      <c r="N190" s="1106"/>
    </row>
    <row r="191" spans="1:14" x14ac:dyDescent="0.25">
      <c r="A191" s="1106"/>
      <c r="B191" s="1106"/>
      <c r="C191" s="1106"/>
      <c r="D191" s="1106"/>
      <c r="E191" s="1106"/>
      <c r="F191" s="1106"/>
      <c r="G191" s="1106"/>
      <c r="H191" s="1106"/>
      <c r="I191" s="1106"/>
      <c r="J191" s="1106"/>
      <c r="K191" s="1106"/>
      <c r="L191" s="1106"/>
      <c r="M191" s="1106"/>
      <c r="N191" s="1106"/>
    </row>
    <row r="192" spans="1:14" x14ac:dyDescent="0.25">
      <c r="A192" s="1106"/>
      <c r="B192" s="1106"/>
      <c r="C192" s="1106"/>
      <c r="D192" s="1106"/>
      <c r="E192" s="1106"/>
      <c r="F192" s="1106"/>
      <c r="G192" s="1106"/>
      <c r="H192" s="1106"/>
      <c r="I192" s="1106"/>
      <c r="J192" s="1106"/>
      <c r="K192" s="1106"/>
      <c r="L192" s="1106"/>
      <c r="M192" s="1106"/>
      <c r="N192" s="1106"/>
    </row>
    <row r="193" spans="1:14" x14ac:dyDescent="0.25">
      <c r="A193" s="1106"/>
      <c r="B193" s="1106"/>
      <c r="C193" s="1106"/>
      <c r="D193" s="1106"/>
      <c r="E193" s="1106"/>
      <c r="F193" s="1106"/>
      <c r="G193" s="1106"/>
      <c r="H193" s="1106"/>
      <c r="I193" s="1106"/>
      <c r="J193" s="1106"/>
      <c r="K193" s="1106"/>
      <c r="L193" s="1106"/>
      <c r="M193" s="1106"/>
      <c r="N193" s="1106"/>
    </row>
    <row r="194" spans="1:14" x14ac:dyDescent="0.25">
      <c r="A194" s="1106"/>
      <c r="B194" s="1106"/>
      <c r="C194" s="1106"/>
      <c r="D194" s="1106"/>
      <c r="E194" s="1106"/>
      <c r="F194" s="1106"/>
      <c r="G194" s="1106"/>
      <c r="H194" s="1106"/>
      <c r="I194" s="1106"/>
      <c r="J194" s="1106"/>
      <c r="K194" s="1106"/>
      <c r="L194" s="1106"/>
      <c r="M194" s="1106"/>
      <c r="N194" s="1106"/>
    </row>
    <row r="195" spans="1:14" x14ac:dyDescent="0.25">
      <c r="A195" s="1106"/>
      <c r="B195" s="1106"/>
      <c r="C195" s="1106"/>
      <c r="D195" s="1106"/>
      <c r="E195" s="1106"/>
      <c r="F195" s="1106"/>
      <c r="G195" s="1106"/>
      <c r="H195" s="1106"/>
      <c r="I195" s="1106"/>
      <c r="J195" s="1106"/>
      <c r="K195" s="1106"/>
      <c r="L195" s="1106"/>
      <c r="M195" s="1106"/>
      <c r="N195" s="1106"/>
    </row>
    <row r="196" spans="1:14" x14ac:dyDescent="0.25">
      <c r="A196" s="1106"/>
      <c r="B196" s="1106"/>
      <c r="C196" s="1106"/>
      <c r="D196" s="1106"/>
      <c r="E196" s="1106"/>
      <c r="F196" s="1106"/>
      <c r="G196" s="1106"/>
      <c r="H196" s="1106"/>
      <c r="I196" s="1106"/>
      <c r="J196" s="1106"/>
      <c r="K196" s="1106"/>
      <c r="L196" s="1106"/>
      <c r="M196" s="1106"/>
      <c r="N196" s="1106"/>
    </row>
    <row r="197" spans="1:14" x14ac:dyDescent="0.25">
      <c r="A197" s="1106"/>
      <c r="B197" s="1106"/>
      <c r="C197" s="1106"/>
      <c r="D197" s="1106"/>
      <c r="E197" s="1106"/>
      <c r="F197" s="1106"/>
      <c r="G197" s="1106"/>
      <c r="H197" s="1106"/>
      <c r="I197" s="1106"/>
      <c r="J197" s="1106"/>
      <c r="K197" s="1106"/>
      <c r="L197" s="1106"/>
      <c r="M197" s="1106"/>
      <c r="N197" s="1106"/>
    </row>
    <row r="198" spans="1:14" x14ac:dyDescent="0.25">
      <c r="A198" s="1106"/>
      <c r="B198" s="1106"/>
      <c r="C198" s="1106"/>
      <c r="D198" s="1106"/>
      <c r="E198" s="1106"/>
      <c r="F198" s="1106"/>
      <c r="G198" s="1106"/>
      <c r="H198" s="1106"/>
      <c r="I198" s="1106"/>
      <c r="J198" s="1106"/>
      <c r="K198" s="1106"/>
      <c r="L198" s="1106"/>
      <c r="M198" s="1106"/>
      <c r="N198" s="1106"/>
    </row>
    <row r="199" spans="1:14" x14ac:dyDescent="0.25">
      <c r="A199" s="1106"/>
      <c r="B199" s="1106"/>
      <c r="C199" s="1106"/>
      <c r="D199" s="1106"/>
      <c r="E199" s="1106"/>
      <c r="F199" s="1106"/>
      <c r="G199" s="1106"/>
      <c r="H199" s="1106"/>
      <c r="I199" s="1106"/>
      <c r="J199" s="1106"/>
      <c r="K199" s="1106"/>
      <c r="L199" s="1106"/>
      <c r="M199" s="1106"/>
      <c r="N199" s="1106"/>
    </row>
    <row r="200" spans="1:14" x14ac:dyDescent="0.25">
      <c r="A200" s="1106"/>
      <c r="B200" s="1106"/>
      <c r="C200" s="1106"/>
      <c r="D200" s="1106"/>
      <c r="E200" s="1106"/>
      <c r="F200" s="1106"/>
      <c r="G200" s="1106"/>
      <c r="H200" s="1106"/>
      <c r="I200" s="1106"/>
      <c r="J200" s="1106"/>
      <c r="K200" s="1106"/>
      <c r="L200" s="1106"/>
      <c r="M200" s="1106"/>
      <c r="N200" s="1106"/>
    </row>
    <row r="201" spans="1:14" x14ac:dyDescent="0.25">
      <c r="A201" s="1106"/>
      <c r="B201" s="1106"/>
      <c r="C201" s="1106"/>
      <c r="D201" s="1106"/>
      <c r="E201" s="1106"/>
      <c r="F201" s="1106"/>
      <c r="G201" s="1106"/>
      <c r="H201" s="1106"/>
      <c r="I201" s="1106"/>
      <c r="J201" s="1106"/>
      <c r="K201" s="1106"/>
      <c r="L201" s="1106"/>
      <c r="M201" s="1106"/>
      <c r="N201" s="1106"/>
    </row>
    <row r="202" spans="1:14" x14ac:dyDescent="0.25">
      <c r="A202" s="1106"/>
      <c r="B202" s="1106"/>
      <c r="C202" s="1106"/>
      <c r="D202" s="1106"/>
      <c r="E202" s="1106"/>
      <c r="F202" s="1106"/>
      <c r="G202" s="1106"/>
      <c r="H202" s="1106"/>
      <c r="I202" s="1106"/>
      <c r="J202" s="1106"/>
      <c r="K202" s="1106"/>
      <c r="L202" s="1106"/>
      <c r="M202" s="1106"/>
      <c r="N202" s="1106"/>
    </row>
    <row r="203" spans="1:14" x14ac:dyDescent="0.25">
      <c r="A203" s="1106"/>
      <c r="B203" s="1106"/>
      <c r="C203" s="1106"/>
      <c r="D203" s="1106"/>
      <c r="E203" s="1106"/>
      <c r="F203" s="1106"/>
      <c r="G203" s="1106"/>
      <c r="H203" s="1106"/>
      <c r="I203" s="1106"/>
      <c r="J203" s="1106"/>
      <c r="K203" s="1106"/>
      <c r="L203" s="1106"/>
      <c r="M203" s="1106"/>
      <c r="N203" s="1106"/>
    </row>
    <row r="204" spans="1:14" x14ac:dyDescent="0.25">
      <c r="A204" s="1106"/>
      <c r="B204" s="1106"/>
      <c r="C204" s="1106"/>
      <c r="D204" s="1106"/>
      <c r="E204" s="1106"/>
      <c r="F204" s="1106"/>
      <c r="G204" s="1106"/>
      <c r="H204" s="1106"/>
      <c r="I204" s="1106"/>
      <c r="J204" s="1106"/>
      <c r="K204" s="1106"/>
      <c r="L204" s="1106"/>
      <c r="M204" s="1106"/>
      <c r="N204" s="1106"/>
    </row>
    <row r="205" spans="1:14" x14ac:dyDescent="0.25">
      <c r="A205" s="1106"/>
      <c r="B205" s="1106"/>
      <c r="C205" s="1106"/>
      <c r="D205" s="1106"/>
      <c r="E205" s="1106"/>
      <c r="F205" s="1106"/>
      <c r="G205" s="1106"/>
      <c r="H205" s="1106"/>
      <c r="I205" s="1106"/>
      <c r="J205" s="1106"/>
      <c r="K205" s="1106"/>
      <c r="L205" s="1106"/>
      <c r="M205" s="1106"/>
      <c r="N205" s="1106"/>
    </row>
    <row r="206" spans="1:14" x14ac:dyDescent="0.25">
      <c r="A206" s="1106"/>
      <c r="B206" s="1106"/>
      <c r="C206" s="1106"/>
      <c r="D206" s="1106"/>
      <c r="E206" s="1106"/>
      <c r="F206" s="1106"/>
      <c r="G206" s="1106"/>
      <c r="H206" s="1106"/>
      <c r="I206" s="1106"/>
      <c r="J206" s="1106"/>
      <c r="K206" s="1106"/>
      <c r="L206" s="1106"/>
      <c r="M206" s="1106"/>
      <c r="N206" s="1106"/>
    </row>
    <row r="207" spans="1:14" x14ac:dyDescent="0.25">
      <c r="A207" s="1106"/>
      <c r="B207" s="1106"/>
      <c r="C207" s="1106"/>
      <c r="D207" s="1106"/>
      <c r="E207" s="1106"/>
      <c r="F207" s="1106"/>
      <c r="G207" s="1106"/>
      <c r="H207" s="1106"/>
      <c r="I207" s="1106"/>
      <c r="J207" s="1106"/>
      <c r="K207" s="1106"/>
      <c r="L207" s="1106"/>
      <c r="M207" s="1106"/>
      <c r="N207" s="1106"/>
    </row>
    <row r="208" spans="1:14" x14ac:dyDescent="0.25">
      <c r="A208" s="1106"/>
      <c r="B208" s="1106"/>
      <c r="C208" s="1106"/>
      <c r="D208" s="1106"/>
      <c r="E208" s="1106"/>
      <c r="F208" s="1106"/>
      <c r="G208" s="1106"/>
      <c r="H208" s="1106"/>
      <c r="I208" s="1106"/>
      <c r="J208" s="1106"/>
      <c r="K208" s="1106"/>
      <c r="L208" s="1106"/>
      <c r="M208" s="1106"/>
      <c r="N208" s="1106"/>
    </row>
    <row r="209" spans="1:14" x14ac:dyDescent="0.25">
      <c r="A209" s="1106"/>
      <c r="B209" s="1106"/>
      <c r="C209" s="1106"/>
      <c r="D209" s="1106"/>
      <c r="E209" s="1106"/>
      <c r="F209" s="1106"/>
      <c r="G209" s="1106"/>
      <c r="H209" s="1106"/>
      <c r="I209" s="1106"/>
      <c r="J209" s="1106"/>
      <c r="K209" s="1106"/>
      <c r="L209" s="1106"/>
      <c r="M209" s="1106"/>
      <c r="N209" s="1106"/>
    </row>
    <row r="210" spans="1:14" x14ac:dyDescent="0.25">
      <c r="A210" s="1106"/>
      <c r="B210" s="1106"/>
      <c r="C210" s="1106"/>
      <c r="D210" s="1106"/>
      <c r="E210" s="1106"/>
      <c r="F210" s="1106"/>
      <c r="G210" s="1106"/>
      <c r="H210" s="1106"/>
      <c r="I210" s="1106"/>
      <c r="J210" s="1106"/>
      <c r="K210" s="1106"/>
      <c r="L210" s="1106"/>
      <c r="M210" s="1106"/>
      <c r="N210" s="1106"/>
    </row>
    <row r="211" spans="1:14" x14ac:dyDescent="0.25">
      <c r="A211" s="1106"/>
      <c r="B211" s="1106"/>
      <c r="C211" s="1106"/>
      <c r="D211" s="1106"/>
      <c r="E211" s="1106"/>
      <c r="F211" s="1106"/>
      <c r="G211" s="1106"/>
      <c r="H211" s="1106"/>
      <c r="I211" s="1106"/>
      <c r="J211" s="1106"/>
      <c r="K211" s="1106"/>
      <c r="L211" s="1106"/>
      <c r="M211" s="1106"/>
      <c r="N211" s="1106"/>
    </row>
    <row r="212" spans="1:14" x14ac:dyDescent="0.25">
      <c r="A212" s="1106"/>
      <c r="B212" s="1106"/>
      <c r="C212" s="1106"/>
      <c r="D212" s="1106"/>
      <c r="E212" s="1106"/>
      <c r="F212" s="1106"/>
      <c r="G212" s="1106"/>
      <c r="H212" s="1106"/>
      <c r="I212" s="1106"/>
      <c r="J212" s="1107"/>
      <c r="K212" s="1107"/>
      <c r="L212" s="1107"/>
      <c r="M212" s="1107"/>
      <c r="N212" s="1107"/>
    </row>
    <row r="213" spans="1:14" x14ac:dyDescent="0.25">
      <c r="A213" s="1106"/>
      <c r="B213" s="1106"/>
      <c r="C213" s="1106"/>
      <c r="D213" s="1106"/>
      <c r="E213" s="1106"/>
      <c r="F213" s="1106"/>
      <c r="G213" s="1106"/>
      <c r="H213" s="1106"/>
      <c r="I213" s="1106"/>
    </row>
    <row r="214" spans="1:14" x14ac:dyDescent="0.25">
      <c r="A214" s="1106"/>
      <c r="B214" s="1106"/>
      <c r="C214" s="1106"/>
      <c r="D214" s="1106"/>
      <c r="E214" s="1106"/>
      <c r="F214" s="1106"/>
      <c r="G214" s="1106"/>
      <c r="H214" s="1106"/>
      <c r="I214" s="1106"/>
    </row>
    <row r="215" spans="1:14" x14ac:dyDescent="0.25">
      <c r="A215" s="1106"/>
      <c r="B215" s="1106"/>
      <c r="C215" s="1106"/>
      <c r="D215" s="1106"/>
      <c r="E215" s="1106"/>
      <c r="F215" s="1106"/>
      <c r="G215" s="1106"/>
      <c r="H215" s="1106"/>
      <c r="I215" s="1106"/>
    </row>
    <row r="216" spans="1:14" x14ac:dyDescent="0.25">
      <c r="A216" s="1106"/>
      <c r="B216" s="1106"/>
      <c r="C216" s="1106"/>
      <c r="D216" s="1106"/>
      <c r="E216" s="1106"/>
      <c r="F216" s="1106"/>
      <c r="G216" s="1106"/>
      <c r="H216" s="1106"/>
      <c r="I216" s="1106"/>
    </row>
    <row r="217" spans="1:14" x14ac:dyDescent="0.25">
      <c r="A217" s="1106"/>
      <c r="B217" s="1106"/>
      <c r="C217" s="1106"/>
      <c r="D217" s="1106"/>
      <c r="E217" s="1106"/>
      <c r="F217" s="1106"/>
      <c r="G217" s="1106"/>
      <c r="H217" s="1106"/>
      <c r="I217" s="1106"/>
    </row>
    <row r="218" spans="1:14" x14ac:dyDescent="0.25">
      <c r="A218" s="1106"/>
      <c r="B218" s="1106"/>
      <c r="C218" s="1106"/>
      <c r="D218" s="1106"/>
      <c r="E218" s="1106"/>
      <c r="F218" s="1106"/>
      <c r="G218" s="1106"/>
      <c r="H218" s="1106"/>
      <c r="I218" s="1106"/>
    </row>
    <row r="219" spans="1:14" x14ac:dyDescent="0.25">
      <c r="A219" s="1106"/>
      <c r="B219" s="1106"/>
      <c r="C219" s="1106"/>
      <c r="D219" s="1106"/>
      <c r="E219" s="1106"/>
      <c r="F219" s="1106"/>
      <c r="G219" s="1106"/>
      <c r="H219" s="1106"/>
      <c r="I219" s="1106"/>
    </row>
    <row r="220" spans="1:14" x14ac:dyDescent="0.25">
      <c r="A220" s="1106"/>
      <c r="B220" s="1106"/>
      <c r="C220" s="1106"/>
      <c r="D220" s="1106"/>
      <c r="E220" s="1106"/>
      <c r="F220" s="1106"/>
      <c r="G220" s="1106"/>
      <c r="H220" s="1106"/>
      <c r="I220" s="1106"/>
    </row>
    <row r="221" spans="1:14" x14ac:dyDescent="0.25">
      <c r="A221" s="1106"/>
      <c r="B221" s="1106"/>
      <c r="C221" s="1106"/>
      <c r="D221" s="1106"/>
      <c r="E221" s="1106"/>
      <c r="F221" s="1106"/>
      <c r="G221" s="1106"/>
      <c r="H221" s="1106"/>
      <c r="I221" s="1106"/>
    </row>
    <row r="222" spans="1:14" x14ac:dyDescent="0.25">
      <c r="A222" s="1106"/>
      <c r="B222" s="1106"/>
      <c r="C222" s="1106"/>
      <c r="D222" s="1106"/>
      <c r="E222" s="1106"/>
      <c r="F222" s="1106"/>
      <c r="G222" s="1106"/>
      <c r="H222" s="1106"/>
      <c r="I222" s="1106"/>
    </row>
    <row r="223" spans="1:14" x14ac:dyDescent="0.25">
      <c r="A223" s="1106"/>
      <c r="B223" s="1106"/>
      <c r="C223" s="1106"/>
      <c r="D223" s="1106"/>
      <c r="E223" s="1106"/>
      <c r="F223" s="1106"/>
      <c r="G223" s="1106"/>
      <c r="H223" s="1106"/>
      <c r="I223" s="1106"/>
    </row>
    <row r="224" spans="1:14" x14ac:dyDescent="0.25">
      <c r="A224" s="1106"/>
      <c r="B224" s="1106"/>
      <c r="C224" s="1106"/>
      <c r="D224" s="1106"/>
      <c r="E224" s="1106"/>
      <c r="F224" s="1106"/>
      <c r="G224" s="1106"/>
      <c r="H224" s="1106"/>
      <c r="I224" s="1106"/>
    </row>
    <row r="225" spans="1:9" x14ac:dyDescent="0.25">
      <c r="A225" s="1106"/>
      <c r="B225" s="1106"/>
      <c r="C225" s="1106"/>
      <c r="D225" s="1106"/>
      <c r="E225" s="1106"/>
      <c r="F225" s="1106"/>
      <c r="G225" s="1106"/>
      <c r="H225" s="1106"/>
      <c r="I225" s="1106"/>
    </row>
    <row r="226" spans="1:9" x14ac:dyDescent="0.25">
      <c r="A226" s="1106"/>
      <c r="B226" s="1106"/>
      <c r="C226" s="1106"/>
      <c r="D226" s="1106"/>
      <c r="E226" s="1106"/>
      <c r="F226" s="1106"/>
      <c r="G226" s="1106"/>
      <c r="H226" s="1106"/>
      <c r="I226" s="1106"/>
    </row>
    <row r="227" spans="1:9" x14ac:dyDescent="0.25">
      <c r="A227" s="1106"/>
      <c r="B227" s="1106"/>
      <c r="C227" s="1106"/>
      <c r="D227" s="1106"/>
      <c r="E227" s="1106"/>
      <c r="F227" s="1106"/>
      <c r="G227" s="1106"/>
      <c r="H227" s="1106"/>
      <c r="I227" s="1106"/>
    </row>
    <row r="228" spans="1:9" x14ac:dyDescent="0.25">
      <c r="A228" s="1106"/>
      <c r="B228" s="1106"/>
      <c r="C228" s="1106"/>
      <c r="D228" s="1106"/>
      <c r="E228" s="1106"/>
      <c r="F228" s="1106"/>
      <c r="G228" s="1106"/>
      <c r="H228" s="1106"/>
      <c r="I228" s="1106"/>
    </row>
    <row r="229" spans="1:9" x14ac:dyDescent="0.25">
      <c r="A229" s="1106"/>
      <c r="B229" s="1106"/>
      <c r="C229" s="1106"/>
      <c r="D229" s="1106"/>
      <c r="E229" s="1106"/>
      <c r="F229" s="1106"/>
      <c r="G229" s="1106"/>
      <c r="H229" s="1106"/>
      <c r="I229" s="1106"/>
    </row>
    <row r="230" spans="1:9" x14ac:dyDescent="0.25">
      <c r="A230" s="1106"/>
      <c r="B230" s="1106"/>
      <c r="C230" s="1106"/>
      <c r="D230" s="1106"/>
      <c r="E230" s="1106"/>
      <c r="F230" s="1106"/>
      <c r="G230" s="1106"/>
      <c r="H230" s="1106"/>
      <c r="I230" s="1106"/>
    </row>
    <row r="231" spans="1:9" x14ac:dyDescent="0.25">
      <c r="A231" s="1106"/>
      <c r="B231" s="1106"/>
      <c r="C231" s="1106"/>
      <c r="D231" s="1106"/>
      <c r="E231" s="1106"/>
      <c r="F231" s="1106"/>
      <c r="G231" s="1106"/>
      <c r="H231" s="1106"/>
      <c r="I231" s="1106"/>
    </row>
    <row r="232" spans="1:9" x14ac:dyDescent="0.25">
      <c r="A232" s="1106"/>
      <c r="B232" s="1106"/>
      <c r="C232" s="1106"/>
      <c r="D232" s="1106"/>
      <c r="E232" s="1106"/>
      <c r="F232" s="1106"/>
      <c r="G232" s="1106"/>
      <c r="H232" s="1106"/>
      <c r="I232" s="1106"/>
    </row>
    <row r="233" spans="1:9" x14ac:dyDescent="0.25">
      <c r="A233" s="1106"/>
      <c r="B233" s="1106"/>
      <c r="C233" s="1106"/>
      <c r="D233" s="1106"/>
      <c r="E233" s="1106"/>
      <c r="F233" s="1106"/>
      <c r="G233" s="1106"/>
      <c r="H233" s="1106"/>
      <c r="I233" s="1106"/>
    </row>
    <row r="234" spans="1:9" x14ac:dyDescent="0.25">
      <c r="A234" s="1106"/>
      <c r="B234" s="1106"/>
      <c r="C234" s="1106"/>
      <c r="D234" s="1106"/>
      <c r="E234" s="1106"/>
      <c r="F234" s="1106"/>
      <c r="G234" s="1106"/>
      <c r="H234" s="1106"/>
      <c r="I234" s="1106"/>
    </row>
    <row r="235" spans="1:9" x14ac:dyDescent="0.25">
      <c r="A235" s="1106"/>
      <c r="B235" s="1106"/>
      <c r="C235" s="1106"/>
      <c r="D235" s="1106"/>
      <c r="E235" s="1106"/>
      <c r="F235" s="1106"/>
      <c r="G235" s="1106"/>
      <c r="H235" s="1106"/>
      <c r="I235" s="1106"/>
    </row>
    <row r="236" spans="1:9" x14ac:dyDescent="0.25">
      <c r="A236" s="1106"/>
      <c r="B236" s="1106"/>
      <c r="C236" s="1106"/>
      <c r="D236" s="1106"/>
      <c r="E236" s="1106"/>
      <c r="F236" s="1106"/>
      <c r="G236" s="1106"/>
      <c r="H236" s="1106"/>
      <c r="I236" s="1106"/>
    </row>
    <row r="237" spans="1:9" x14ac:dyDescent="0.25">
      <c r="A237" s="1106"/>
      <c r="B237" s="1106"/>
      <c r="C237" s="1106"/>
      <c r="D237" s="1106"/>
      <c r="E237" s="1106"/>
      <c r="F237" s="1106"/>
      <c r="G237" s="1106"/>
      <c r="H237" s="1106"/>
      <c r="I237" s="1106"/>
    </row>
    <row r="238" spans="1:9" x14ac:dyDescent="0.25">
      <c r="A238" s="1106"/>
      <c r="B238" s="1106"/>
      <c r="C238" s="1106"/>
      <c r="D238" s="1106"/>
      <c r="E238" s="1106"/>
      <c r="F238" s="1106"/>
      <c r="G238" s="1106"/>
      <c r="H238" s="1106"/>
      <c r="I238" s="1106"/>
    </row>
    <row r="239" spans="1:9" x14ac:dyDescent="0.25">
      <c r="A239" s="1106"/>
      <c r="B239" s="1106"/>
      <c r="C239" s="1106"/>
      <c r="D239" s="1106"/>
      <c r="E239" s="1106"/>
      <c r="F239" s="1106"/>
      <c r="G239" s="1106"/>
      <c r="H239" s="1106"/>
      <c r="I239" s="1106"/>
    </row>
    <row r="240" spans="1:9" x14ac:dyDescent="0.25">
      <c r="A240" s="1106"/>
      <c r="B240" s="1106"/>
      <c r="C240" s="1106"/>
      <c r="D240" s="1106"/>
      <c r="E240" s="1106"/>
      <c r="F240" s="1106"/>
      <c r="G240" s="1106"/>
      <c r="H240" s="1106"/>
      <c r="I240" s="1106"/>
    </row>
    <row r="241" spans="1:9" x14ac:dyDescent="0.25">
      <c r="A241" s="1106"/>
      <c r="B241" s="1106"/>
      <c r="C241" s="1106"/>
      <c r="D241" s="1106"/>
      <c r="E241" s="1106"/>
      <c r="F241" s="1106"/>
      <c r="G241" s="1106"/>
      <c r="H241" s="1106"/>
      <c r="I241" s="1106"/>
    </row>
    <row r="242" spans="1:9" x14ac:dyDescent="0.25">
      <c r="A242" s="1106"/>
      <c r="B242" s="1106"/>
      <c r="C242" s="1106"/>
      <c r="D242" s="1106"/>
      <c r="E242" s="1106"/>
      <c r="F242" s="1106"/>
      <c r="G242" s="1106"/>
      <c r="H242" s="1106"/>
      <c r="I242" s="1106"/>
    </row>
    <row r="243" spans="1:9" x14ac:dyDescent="0.25">
      <c r="A243" s="1106"/>
      <c r="B243" s="1106"/>
      <c r="C243" s="1106"/>
      <c r="D243" s="1106"/>
      <c r="E243" s="1106"/>
      <c r="F243" s="1106"/>
      <c r="G243" s="1106"/>
      <c r="H243" s="1106"/>
      <c r="I243" s="1106"/>
    </row>
    <row r="244" spans="1:9" x14ac:dyDescent="0.25">
      <c r="A244" s="1106"/>
      <c r="B244" s="1106"/>
      <c r="C244" s="1106"/>
      <c r="D244" s="1106"/>
      <c r="E244" s="1106"/>
      <c r="F244" s="1106"/>
      <c r="G244" s="1106"/>
      <c r="H244" s="1106"/>
      <c r="I244" s="1106"/>
    </row>
    <row r="245" spans="1:9" x14ac:dyDescent="0.25">
      <c r="A245" s="1106"/>
      <c r="B245" s="1106"/>
      <c r="C245" s="1106"/>
      <c r="D245" s="1106"/>
      <c r="E245" s="1106"/>
      <c r="F245" s="1106"/>
      <c r="G245" s="1106"/>
      <c r="H245" s="1106"/>
      <c r="I245" s="1106"/>
    </row>
    <row r="246" spans="1:9" x14ac:dyDescent="0.25">
      <c r="A246" s="1106"/>
      <c r="B246" s="1106"/>
      <c r="C246" s="1106"/>
      <c r="D246" s="1106"/>
      <c r="E246" s="1106"/>
      <c r="F246" s="1106"/>
      <c r="G246" s="1106"/>
      <c r="H246" s="1106"/>
      <c r="I246" s="1106"/>
    </row>
    <row r="247" spans="1:9" x14ac:dyDescent="0.25">
      <c r="A247" s="1106"/>
      <c r="B247" s="1106"/>
      <c r="C247" s="1106"/>
      <c r="D247" s="1106"/>
      <c r="E247" s="1106"/>
      <c r="F247" s="1106"/>
      <c r="G247" s="1106"/>
      <c r="H247" s="1106"/>
      <c r="I247" s="1106"/>
    </row>
    <row r="248" spans="1:9" x14ac:dyDescent="0.25">
      <c r="A248" s="1106"/>
      <c r="B248" s="1106"/>
      <c r="C248" s="1106"/>
      <c r="D248" s="1106"/>
      <c r="E248" s="1106"/>
      <c r="F248" s="1106"/>
      <c r="G248" s="1106"/>
      <c r="H248" s="1106"/>
      <c r="I248" s="1106"/>
    </row>
    <row r="249" spans="1:9" x14ac:dyDescent="0.25">
      <c r="A249" s="1106"/>
      <c r="B249" s="1106"/>
      <c r="C249" s="1106"/>
      <c r="D249" s="1106"/>
      <c r="E249" s="1106"/>
      <c r="F249" s="1106"/>
      <c r="G249" s="1106"/>
      <c r="H249" s="1106"/>
      <c r="I249" s="1106"/>
    </row>
    <row r="250" spans="1:9" x14ac:dyDescent="0.25">
      <c r="A250" s="1106"/>
      <c r="B250" s="1106"/>
      <c r="C250" s="1106"/>
      <c r="D250" s="1106"/>
      <c r="E250" s="1106"/>
      <c r="F250" s="1106"/>
      <c r="G250" s="1106"/>
      <c r="H250" s="1106"/>
      <c r="I250" s="1106"/>
    </row>
    <row r="251" spans="1:9" x14ac:dyDescent="0.25">
      <c r="A251" s="1106"/>
      <c r="B251" s="1106"/>
      <c r="C251" s="1106"/>
      <c r="D251" s="1106"/>
      <c r="E251" s="1106"/>
      <c r="F251" s="1106"/>
      <c r="G251" s="1106"/>
      <c r="H251" s="1106"/>
      <c r="I251" s="1106"/>
    </row>
    <row r="252" spans="1:9" x14ac:dyDescent="0.25">
      <c r="A252" s="1106"/>
      <c r="B252" s="1106"/>
      <c r="C252" s="1106"/>
      <c r="D252" s="1106"/>
      <c r="E252" s="1106"/>
      <c r="F252" s="1106"/>
      <c r="G252" s="1106"/>
      <c r="H252" s="1106"/>
      <c r="I252" s="1106"/>
    </row>
    <row r="253" spans="1:9" x14ac:dyDescent="0.25">
      <c r="A253" s="1106"/>
      <c r="B253" s="1106"/>
      <c r="C253" s="1106"/>
      <c r="D253" s="1106"/>
      <c r="E253" s="1106"/>
      <c r="F253" s="1106"/>
      <c r="G253" s="1106"/>
      <c r="H253" s="1106"/>
      <c r="I253" s="1106"/>
    </row>
    <row r="254" spans="1:9" x14ac:dyDescent="0.25">
      <c r="A254" s="1106"/>
      <c r="B254" s="1106"/>
      <c r="C254" s="1106"/>
      <c r="D254" s="1106"/>
      <c r="E254" s="1106"/>
      <c r="F254" s="1106"/>
      <c r="G254" s="1106"/>
      <c r="H254" s="1106"/>
      <c r="I254" s="1106"/>
    </row>
    <row r="255" spans="1:9" x14ac:dyDescent="0.25">
      <c r="A255" s="1106"/>
      <c r="B255" s="1106"/>
      <c r="C255" s="1106"/>
      <c r="D255" s="1106"/>
      <c r="E255" s="1106"/>
      <c r="F255" s="1106"/>
      <c r="G255" s="1106"/>
      <c r="H255" s="1106"/>
      <c r="I255" s="1106"/>
    </row>
    <row r="256" spans="1:9" x14ac:dyDescent="0.25">
      <c r="A256" s="1106"/>
      <c r="B256" s="1106"/>
      <c r="C256" s="1106"/>
      <c r="D256" s="1106"/>
      <c r="E256" s="1106"/>
      <c r="F256" s="1106"/>
      <c r="G256" s="1106"/>
      <c r="H256" s="1106"/>
      <c r="I256" s="1106"/>
    </row>
    <row r="257" spans="1:9" x14ac:dyDescent="0.25">
      <c r="A257" s="1106"/>
      <c r="B257" s="1106"/>
      <c r="C257" s="1106"/>
      <c r="D257" s="1106"/>
      <c r="E257" s="1106"/>
      <c r="F257" s="1106"/>
      <c r="G257" s="1106"/>
      <c r="H257" s="1106"/>
      <c r="I257" s="1106"/>
    </row>
    <row r="258" spans="1:9" x14ac:dyDescent="0.25">
      <c r="A258" s="1106"/>
      <c r="B258" s="1106"/>
      <c r="C258" s="1106"/>
      <c r="D258" s="1106"/>
      <c r="E258" s="1106"/>
      <c r="F258" s="1106"/>
      <c r="G258" s="1106"/>
      <c r="H258" s="1106"/>
      <c r="I258" s="1106"/>
    </row>
    <row r="259" spans="1:9" x14ac:dyDescent="0.25">
      <c r="A259" s="1106"/>
      <c r="B259" s="1106"/>
      <c r="C259" s="1106"/>
      <c r="D259" s="1106"/>
      <c r="E259" s="1106"/>
      <c r="F259" s="1106"/>
      <c r="G259" s="1106"/>
      <c r="H259" s="1106"/>
      <c r="I259" s="1106"/>
    </row>
    <row r="260" spans="1:9" x14ac:dyDescent="0.25">
      <c r="A260" s="1106"/>
      <c r="B260" s="1106"/>
      <c r="C260" s="1106"/>
      <c r="D260" s="1106"/>
      <c r="E260" s="1106"/>
      <c r="F260" s="1106"/>
      <c r="G260" s="1106"/>
      <c r="H260" s="1106"/>
      <c r="I260" s="1106"/>
    </row>
    <row r="261" spans="1:9" x14ac:dyDescent="0.25">
      <c r="A261" s="1106"/>
      <c r="B261" s="1106"/>
      <c r="C261" s="1106"/>
      <c r="D261" s="1106"/>
      <c r="E261" s="1106"/>
      <c r="F261" s="1106"/>
      <c r="G261" s="1106"/>
      <c r="H261" s="1106"/>
      <c r="I261" s="1106"/>
    </row>
    <row r="262" spans="1:9" x14ac:dyDescent="0.25">
      <c r="A262" s="1106"/>
      <c r="B262" s="1106"/>
      <c r="C262" s="1106"/>
      <c r="D262" s="1106"/>
      <c r="E262" s="1106"/>
      <c r="F262" s="1106"/>
      <c r="G262" s="1106"/>
      <c r="H262" s="1106"/>
      <c r="I262" s="1106"/>
    </row>
    <row r="263" spans="1:9" x14ac:dyDescent="0.25">
      <c r="A263" s="1106"/>
      <c r="B263" s="1106"/>
      <c r="C263" s="1106"/>
      <c r="D263" s="1106"/>
      <c r="E263" s="1106"/>
      <c r="F263" s="1106"/>
      <c r="G263" s="1106"/>
      <c r="H263" s="1106"/>
      <c r="I263" s="1106"/>
    </row>
    <row r="264" spans="1:9" x14ac:dyDescent="0.25">
      <c r="A264" s="1106"/>
      <c r="B264" s="1106"/>
      <c r="C264" s="1106"/>
      <c r="D264" s="1106"/>
      <c r="E264" s="1106"/>
      <c r="F264" s="1106"/>
      <c r="G264" s="1106"/>
      <c r="H264" s="1106"/>
      <c r="I264" s="1106"/>
    </row>
    <row r="265" spans="1:9" x14ac:dyDescent="0.25">
      <c r="A265" s="1106"/>
      <c r="B265" s="1106"/>
      <c r="C265" s="1106"/>
      <c r="D265" s="1106"/>
      <c r="E265" s="1106"/>
      <c r="F265" s="1106"/>
      <c r="G265" s="1106"/>
      <c r="H265" s="1106"/>
      <c r="I265" s="1106"/>
    </row>
    <row r="266" spans="1:9" x14ac:dyDescent="0.25">
      <c r="A266" s="1106"/>
      <c r="B266" s="1106"/>
      <c r="C266" s="1106"/>
      <c r="D266" s="1106"/>
      <c r="E266" s="1106"/>
      <c r="F266" s="1106"/>
      <c r="G266" s="1106"/>
      <c r="H266" s="1106"/>
      <c r="I266" s="1106"/>
    </row>
    <row r="267" spans="1:9" x14ac:dyDescent="0.25">
      <c r="A267" s="1106"/>
      <c r="B267" s="1106"/>
      <c r="C267" s="1106"/>
      <c r="D267" s="1106"/>
      <c r="E267" s="1106"/>
      <c r="F267" s="1106"/>
      <c r="G267" s="1106"/>
      <c r="H267" s="1106"/>
      <c r="I267" s="1106"/>
    </row>
    <row r="268" spans="1:9" x14ac:dyDescent="0.25">
      <c r="A268" s="1106"/>
      <c r="B268" s="1106"/>
      <c r="C268" s="1106"/>
      <c r="D268" s="1106"/>
      <c r="E268" s="1106"/>
      <c r="F268" s="1106"/>
      <c r="G268" s="1106"/>
      <c r="H268" s="1106"/>
      <c r="I268" s="1106"/>
    </row>
    <row r="269" spans="1:9" x14ac:dyDescent="0.25">
      <c r="A269" s="1106"/>
      <c r="B269" s="1106"/>
      <c r="C269" s="1106"/>
      <c r="D269" s="1106"/>
      <c r="E269" s="1106"/>
      <c r="F269" s="1106"/>
      <c r="G269" s="1106"/>
      <c r="H269" s="1106"/>
      <c r="I269" s="1106"/>
    </row>
    <row r="270" spans="1:9" x14ac:dyDescent="0.25">
      <c r="A270" s="1106"/>
      <c r="B270" s="1106"/>
      <c r="C270" s="1106"/>
      <c r="D270" s="1106"/>
      <c r="E270" s="1106"/>
      <c r="F270" s="1106"/>
      <c r="G270" s="1106"/>
      <c r="H270" s="1106"/>
      <c r="I270" s="1106"/>
    </row>
    <row r="271" spans="1:9" x14ac:dyDescent="0.25">
      <c r="A271" s="1106"/>
      <c r="B271" s="1106"/>
      <c r="C271" s="1106"/>
      <c r="D271" s="1106"/>
      <c r="E271" s="1106"/>
      <c r="F271" s="1106"/>
      <c r="G271" s="1106"/>
      <c r="H271" s="1106"/>
      <c r="I271" s="1106"/>
    </row>
    <row r="272" spans="1:9" x14ac:dyDescent="0.25">
      <c r="A272" s="1106"/>
      <c r="B272" s="1106"/>
      <c r="C272" s="1106"/>
      <c r="D272" s="1106"/>
      <c r="E272" s="1106"/>
      <c r="F272" s="1106"/>
      <c r="G272" s="1106"/>
      <c r="H272" s="1106"/>
      <c r="I272" s="1106"/>
    </row>
    <row r="273" spans="1:9" x14ac:dyDescent="0.25">
      <c r="A273" s="1106"/>
      <c r="B273" s="1106"/>
      <c r="C273" s="1106"/>
      <c r="D273" s="1106"/>
      <c r="E273" s="1106"/>
      <c r="F273" s="1106"/>
      <c r="G273" s="1106"/>
      <c r="H273" s="1106"/>
      <c r="I273" s="1106"/>
    </row>
    <row r="274" spans="1:9" x14ac:dyDescent="0.25">
      <c r="A274" s="1106"/>
      <c r="B274" s="1106"/>
      <c r="C274" s="1106"/>
      <c r="D274" s="1106"/>
      <c r="E274" s="1106"/>
      <c r="F274" s="1106"/>
      <c r="G274" s="1106"/>
      <c r="H274" s="1106"/>
      <c r="I274" s="1106"/>
    </row>
    <row r="275" spans="1:9" x14ac:dyDescent="0.25">
      <c r="A275" s="1106"/>
      <c r="B275" s="1106"/>
      <c r="C275" s="1106"/>
      <c r="D275" s="1106"/>
      <c r="E275" s="1106"/>
      <c r="F275" s="1106"/>
      <c r="G275" s="1106"/>
      <c r="H275" s="1106"/>
      <c r="I275" s="1106"/>
    </row>
    <row r="276" spans="1:9" x14ac:dyDescent="0.25">
      <c r="A276" s="1106"/>
      <c r="B276" s="1106"/>
      <c r="C276" s="1106"/>
      <c r="D276" s="1106"/>
      <c r="E276" s="1106"/>
      <c r="F276" s="1106"/>
      <c r="G276" s="1106"/>
      <c r="H276" s="1106"/>
      <c r="I276" s="1106"/>
    </row>
    <row r="277" spans="1:9" x14ac:dyDescent="0.25">
      <c r="A277" s="1106"/>
      <c r="B277" s="1106"/>
      <c r="C277" s="1106"/>
      <c r="D277" s="1106"/>
      <c r="E277" s="1106"/>
      <c r="F277" s="1106"/>
      <c r="G277" s="1106"/>
      <c r="H277" s="1106"/>
      <c r="I277" s="1106"/>
    </row>
    <row r="278" spans="1:9" x14ac:dyDescent="0.25">
      <c r="A278" s="1106"/>
      <c r="B278" s="1106"/>
      <c r="C278" s="1106"/>
      <c r="D278" s="1106"/>
      <c r="E278" s="1106"/>
      <c r="F278" s="1106"/>
      <c r="G278" s="1106"/>
      <c r="H278" s="1106"/>
      <c r="I278" s="1106"/>
    </row>
    <row r="279" spans="1:9" x14ac:dyDescent="0.25">
      <c r="A279" s="1106"/>
      <c r="B279" s="1106"/>
      <c r="C279" s="1106"/>
      <c r="D279" s="1106"/>
      <c r="E279" s="1106"/>
      <c r="F279" s="1106"/>
      <c r="G279" s="1106"/>
      <c r="H279" s="1106"/>
      <c r="I279" s="1106"/>
    </row>
    <row r="280" spans="1:9" x14ac:dyDescent="0.25">
      <c r="A280" s="1106"/>
      <c r="B280" s="1106"/>
      <c r="C280" s="1106"/>
      <c r="D280" s="1106"/>
      <c r="E280" s="1106"/>
      <c r="F280" s="1106"/>
      <c r="G280" s="1106"/>
      <c r="H280" s="1106"/>
      <c r="I280" s="1106"/>
    </row>
    <row r="281" spans="1:9" x14ac:dyDescent="0.25">
      <c r="A281" s="1106"/>
      <c r="B281" s="1106"/>
      <c r="C281" s="1106"/>
      <c r="D281" s="1106"/>
      <c r="E281" s="1106"/>
      <c r="F281" s="1106"/>
      <c r="G281" s="1106"/>
      <c r="H281" s="1106"/>
      <c r="I281" s="1106"/>
    </row>
    <row r="282" spans="1:9" x14ac:dyDescent="0.25">
      <c r="A282" s="1106"/>
      <c r="B282" s="1106"/>
      <c r="C282" s="1106"/>
      <c r="D282" s="1106"/>
      <c r="E282" s="1106"/>
      <c r="F282" s="1106"/>
      <c r="G282" s="1106"/>
      <c r="H282" s="1106"/>
      <c r="I282" s="1106"/>
    </row>
    <row r="283" spans="1:9" x14ac:dyDescent="0.25">
      <c r="A283" s="1106"/>
      <c r="B283" s="1106"/>
      <c r="C283" s="1106"/>
      <c r="D283" s="1106"/>
      <c r="E283" s="1106"/>
      <c r="F283" s="1106"/>
      <c r="G283" s="1106"/>
      <c r="H283" s="1106"/>
      <c r="I283" s="1106"/>
    </row>
  </sheetData>
  <hyperlinks>
    <hyperlink ref="B4" location="BR_A0001" display="BR_A0001"/>
    <hyperlink ref="E3" location="'dSU 13001'!A1" display="Drawing"/>
    <hyperlink ref="F2" location="SU_A1300_BOM" display="Back to BOM"/>
  </hyperlinks>
  <pageMargins left="0.31496062992125984" right="0.31496062992125984" top="0.31496062992125984" bottom="0.39370078740157483" header="0.51181102362204722" footer="0.31496062992125984"/>
  <pageSetup paperSize="9" scale="54" fitToHeight="99" orientation="landscape" horizontalDpi="1200" verticalDpi="1200" r:id="rId1"/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2.140625" style="103" customWidth="1"/>
    <col min="2" max="16384" width="11.5703125" style="103"/>
  </cols>
  <sheetData>
    <row r="1" spans="1:2" x14ac:dyDescent="0.3">
      <c r="A1" s="103" t="s">
        <v>396</v>
      </c>
      <c r="B1" s="60" t="str">
        <f>SU_13001</f>
        <v>SU 13001</v>
      </c>
    </row>
  </sheetData>
  <hyperlinks>
    <hyperlink ref="B1" location="SU_13001" display="SU_1300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40"/>
  <sheetViews>
    <sheetView tabSelected="1" zoomScale="70" zoomScaleNormal="7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 customWidth="1"/>
    <col min="2" max="2" width="34.85546875" style="103" customWidth="1"/>
    <col min="3" max="3" width="36.42578125" style="103" customWidth="1"/>
    <col min="4" max="4" width="11.5703125" style="103"/>
    <col min="5" max="5" width="15.28515625" style="103" customWidth="1"/>
    <col min="6" max="6" width="11.5703125" style="103"/>
    <col min="7" max="7" width="43.28515625" style="103" customWidth="1"/>
    <col min="8" max="8" width="11.5703125" style="103"/>
    <col min="9" max="9" width="27.42578125" style="103" customWidth="1"/>
    <col min="10" max="16384" width="11.5703125" style="103"/>
  </cols>
  <sheetData>
    <row r="1" spans="1:16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6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SU_13002_m+SU_13002_p</f>
        <v>0.36380753801370747</v>
      </c>
      <c r="O2" s="107"/>
    </row>
    <row r="3" spans="1:16" ht="14.45" x14ac:dyDescent="0.3">
      <c r="A3" s="377" t="s">
        <v>5</v>
      </c>
      <c r="B3" s="104" t="str">
        <f>'SU A1300'!B3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4</v>
      </c>
      <c r="O3" s="107"/>
    </row>
    <row r="4" spans="1:16" ht="14.45" x14ac:dyDescent="0.3">
      <c r="A4" s="377" t="s">
        <v>7</v>
      </c>
      <c r="B4" s="58" t="str">
        <f>'SU A1300'!B4</f>
        <v>Rear Pushrod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6" ht="14.45" x14ac:dyDescent="0.3">
      <c r="A5" s="377" t="s">
        <v>17</v>
      </c>
      <c r="B5" s="109" t="s">
        <v>152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1.4552301520548299</v>
      </c>
      <c r="O5" s="107"/>
    </row>
    <row r="6" spans="1:16" ht="14.45" x14ac:dyDescent="0.3">
      <c r="A6" s="377" t="s">
        <v>9</v>
      </c>
      <c r="B6" s="103" t="s">
        <v>538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6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6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6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6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1177" t="s">
        <v>32</v>
      </c>
      <c r="G10" s="1177" t="s">
        <v>33</v>
      </c>
      <c r="H10" s="1177" t="s">
        <v>34</v>
      </c>
      <c r="I10" s="1177" t="s">
        <v>39</v>
      </c>
      <c r="J10" s="1177" t="s">
        <v>40</v>
      </c>
      <c r="K10" s="1177" t="s">
        <v>41</v>
      </c>
      <c r="L10" s="1177" t="s">
        <v>42</v>
      </c>
      <c r="M10" s="1177" t="s">
        <v>19</v>
      </c>
      <c r="N10" s="1177" t="s">
        <v>20</v>
      </c>
      <c r="O10" s="107"/>
    </row>
    <row r="11" spans="1:16" ht="14.45" x14ac:dyDescent="0.3">
      <c r="A11" s="1176">
        <v>10</v>
      </c>
      <c r="B11" s="1175" t="s">
        <v>110</v>
      </c>
      <c r="C11" s="1172" t="s">
        <v>435</v>
      </c>
      <c r="D11" s="1174">
        <v>2.25</v>
      </c>
      <c r="E11" s="1173">
        <f>L11*J11*K11</f>
        <v>9.4700168949810731E-3</v>
      </c>
      <c r="F11" s="1172" t="s">
        <v>43</v>
      </c>
      <c r="G11" s="1172"/>
      <c r="H11" s="1171"/>
      <c r="I11" s="1170" t="s">
        <v>434</v>
      </c>
      <c r="J11" s="174">
        <f>PI()*8*8/1000000</f>
        <v>2.0106192982974677E-4</v>
      </c>
      <c r="K11" s="174">
        <v>6.0000000000000001E-3</v>
      </c>
      <c r="L11" s="852">
        <v>7850</v>
      </c>
      <c r="M11" s="175">
        <v>1</v>
      </c>
      <c r="N11" s="167">
        <f>IF(J11="",D11*M11,D11*J11*K11*L11*M11)</f>
        <v>2.1307538013707415E-2</v>
      </c>
      <c r="O11" s="112"/>
      <c r="P11" s="113"/>
    </row>
    <row r="12" spans="1:16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2.1307538013707415E-2</v>
      </c>
      <c r="O12" s="107"/>
    </row>
    <row r="13" spans="1:16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6" ht="14.45" x14ac:dyDescent="0.3">
      <c r="A14" s="1169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6" ht="14.45" x14ac:dyDescent="0.3">
      <c r="A15" s="1139">
        <v>10</v>
      </c>
      <c r="B15" s="1125" t="s">
        <v>390</v>
      </c>
      <c r="C15" s="1125"/>
      <c r="D15" s="1120">
        <v>1.3</v>
      </c>
      <c r="E15" s="1125" t="s">
        <v>72</v>
      </c>
      <c r="F15" s="1125">
        <v>1</v>
      </c>
      <c r="G15" s="1125" t="s">
        <v>523</v>
      </c>
      <c r="H15" s="1125">
        <f>1/8</f>
        <v>0.125</v>
      </c>
      <c r="I15" s="1120">
        <f>D15*F15*H15</f>
        <v>0.16250000000000001</v>
      </c>
      <c r="J15" s="122"/>
      <c r="K15" s="122"/>
      <c r="L15" s="122"/>
      <c r="M15" s="122"/>
      <c r="N15" s="122"/>
      <c r="O15" s="123"/>
      <c r="P15" s="124"/>
    </row>
    <row r="16" spans="1:16" ht="14.45" x14ac:dyDescent="0.3">
      <c r="A16" s="1139">
        <v>20</v>
      </c>
      <c r="B16" s="1125" t="s">
        <v>80</v>
      </c>
      <c r="C16" s="1125"/>
      <c r="D16" s="1120">
        <v>0.04</v>
      </c>
      <c r="E16" s="1125" t="s">
        <v>79</v>
      </c>
      <c r="F16" s="1125">
        <v>1.5</v>
      </c>
      <c r="G16" s="1125" t="s">
        <v>93</v>
      </c>
      <c r="H16" s="1125">
        <v>3</v>
      </c>
      <c r="I16" s="1120">
        <f>D16*F16*H16</f>
        <v>0.18</v>
      </c>
      <c r="J16" s="105"/>
      <c r="K16" s="105"/>
      <c r="L16" s="105"/>
      <c r="M16" s="105"/>
      <c r="N16" s="105"/>
      <c r="O16" s="107"/>
    </row>
    <row r="17" spans="1:16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58">
        <f>SUM(I15:I16)</f>
        <v>0.34250000000000003</v>
      </c>
      <c r="J17" s="115"/>
      <c r="K17" s="115"/>
      <c r="L17" s="115"/>
      <c r="M17" s="115"/>
      <c r="N17" s="115"/>
      <c r="O17" s="107"/>
    </row>
    <row r="18" spans="1:16" thickBot="1" x14ac:dyDescent="0.35">
      <c r="A18" s="118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119"/>
      <c r="O18" s="120"/>
    </row>
    <row r="22" spans="1:16" ht="14.45" x14ac:dyDescent="0.3">
      <c r="A22" s="131"/>
      <c r="B22" s="131"/>
      <c r="C22" s="131"/>
      <c r="D22" s="131"/>
      <c r="E22" s="131"/>
      <c r="F22" s="131"/>
      <c r="G22" s="131"/>
      <c r="H22" s="131"/>
      <c r="I22" s="131"/>
      <c r="J22" s="131"/>
      <c r="K22" s="131"/>
      <c r="L22" s="131"/>
      <c r="M22" s="131"/>
      <c r="N22" s="131"/>
      <c r="O22" s="131"/>
      <c r="P22" s="131"/>
    </row>
    <row r="23" spans="1:16" ht="14.45" x14ac:dyDescent="0.3">
      <c r="A23" s="131"/>
      <c r="B23" s="1039"/>
      <c r="C23" s="1035"/>
      <c r="D23" s="1035"/>
      <c r="E23" s="1035"/>
      <c r="F23" s="1035"/>
      <c r="G23" s="253"/>
      <c r="H23" s="1035"/>
      <c r="I23" s="1035"/>
      <c r="J23" s="1035"/>
      <c r="K23" s="1057"/>
      <c r="L23" s="1038"/>
      <c r="M23" s="1035"/>
      <c r="N23" s="1039"/>
      <c r="O23" s="1046"/>
      <c r="P23" s="131"/>
    </row>
    <row r="24" spans="1:16" ht="14.45" x14ac:dyDescent="0.3">
      <c r="A24" s="131"/>
      <c r="B24" s="1039"/>
      <c r="C24" s="1035"/>
      <c r="D24" s="1138"/>
      <c r="E24" s="253"/>
      <c r="F24" s="1035"/>
      <c r="G24" s="1035"/>
      <c r="H24" s="1035"/>
      <c r="I24" s="1035"/>
      <c r="J24" s="1035"/>
      <c r="K24" s="1035"/>
      <c r="L24" s="1035"/>
      <c r="M24" s="1035"/>
      <c r="N24" s="1039"/>
      <c r="O24" s="1055"/>
      <c r="P24" s="131"/>
    </row>
    <row r="25" spans="1:16" ht="14.45" x14ac:dyDescent="0.3">
      <c r="A25" s="131"/>
      <c r="B25" s="1039"/>
      <c r="C25" s="253"/>
      <c r="D25" s="1035"/>
      <c r="E25" s="1039"/>
      <c r="F25" s="1035"/>
      <c r="G25" s="1035"/>
      <c r="H25" s="1035"/>
      <c r="I25" s="1035"/>
      <c r="J25" s="1035"/>
      <c r="K25" s="1039"/>
      <c r="L25" s="1035"/>
      <c r="M25" s="1035"/>
      <c r="N25" s="1035"/>
      <c r="O25" s="1137"/>
      <c r="P25" s="131"/>
    </row>
    <row r="26" spans="1:16" ht="14.45" x14ac:dyDescent="0.3">
      <c r="A26" s="131"/>
      <c r="B26" s="1039"/>
      <c r="C26" s="1054"/>
      <c r="D26" s="1035"/>
      <c r="E26" s="1039"/>
      <c r="F26" s="1035"/>
      <c r="G26" s="1035"/>
      <c r="H26" s="1035"/>
      <c r="I26" s="1035"/>
      <c r="J26" s="1035"/>
      <c r="K26" s="1039"/>
      <c r="L26" s="1035"/>
      <c r="M26" s="1035"/>
      <c r="N26" s="1039"/>
      <c r="O26" s="1046"/>
      <c r="P26" s="131"/>
    </row>
    <row r="27" spans="1:16" ht="14.45" x14ac:dyDescent="0.3">
      <c r="A27" s="131"/>
      <c r="B27" s="1039"/>
      <c r="C27" s="1053"/>
      <c r="D27" s="1035"/>
      <c r="E27" s="1035"/>
      <c r="F27" s="1035"/>
      <c r="G27" s="1035"/>
      <c r="H27" s="1035"/>
      <c r="I27" s="1035"/>
      <c r="J27" s="1035"/>
      <c r="K27" s="1039"/>
      <c r="L27" s="1035"/>
      <c r="M27" s="1035"/>
      <c r="N27" s="1035"/>
      <c r="O27" s="1035"/>
      <c r="P27" s="131"/>
    </row>
    <row r="28" spans="1:16" ht="14.45" x14ac:dyDescent="0.3">
      <c r="A28" s="131"/>
      <c r="B28" s="1039"/>
      <c r="C28" s="1035"/>
      <c r="D28" s="1035"/>
      <c r="E28" s="1035"/>
      <c r="F28" s="1035"/>
      <c r="G28" s="1035"/>
      <c r="H28" s="1035"/>
      <c r="I28" s="1035"/>
      <c r="J28" s="1035"/>
      <c r="K28" s="1035"/>
      <c r="L28" s="1035"/>
      <c r="M28" s="1035"/>
      <c r="N28" s="1035"/>
      <c r="O28" s="1035"/>
      <c r="P28" s="131"/>
    </row>
    <row r="29" spans="1:16" ht="14.45" x14ac:dyDescent="0.3">
      <c r="A29" s="131"/>
      <c r="B29" s="1039"/>
      <c r="C29" s="1137"/>
      <c r="D29" s="1137"/>
      <c r="E29" s="1137"/>
      <c r="F29" s="1137"/>
      <c r="G29" s="1137"/>
      <c r="H29" s="1137"/>
      <c r="I29" s="1137"/>
      <c r="J29" s="1137"/>
      <c r="K29" s="1137"/>
      <c r="L29" s="1137"/>
      <c r="M29" s="1137"/>
      <c r="N29" s="1137"/>
      <c r="O29" s="1137"/>
      <c r="P29" s="131"/>
    </row>
    <row r="30" spans="1:16" ht="14.45" x14ac:dyDescent="0.3">
      <c r="A30" s="131"/>
      <c r="B30" s="131"/>
      <c r="C30" s="131"/>
      <c r="D30" s="131"/>
      <c r="E30" s="131"/>
      <c r="F30" s="131"/>
      <c r="G30" s="131"/>
      <c r="H30" s="131"/>
      <c r="I30" s="131"/>
      <c r="J30" s="131"/>
      <c r="K30" s="131"/>
      <c r="L30" s="131"/>
      <c r="M30" s="131"/>
      <c r="N30" s="131"/>
      <c r="O30" s="131"/>
      <c r="P30" s="131"/>
    </row>
    <row r="31" spans="1:16" ht="14.45" x14ac:dyDescent="0.3">
      <c r="A31" s="131"/>
      <c r="B31" s="1039"/>
      <c r="C31" s="1039"/>
      <c r="D31" s="1039"/>
      <c r="E31" s="1039"/>
      <c r="F31" s="1039"/>
      <c r="G31" s="1039"/>
      <c r="H31" s="1039"/>
      <c r="I31" s="1039"/>
      <c r="J31" s="1039"/>
      <c r="K31" s="1039"/>
      <c r="L31" s="1039"/>
      <c r="M31" s="1039"/>
      <c r="N31" s="1039"/>
      <c r="O31" s="1039"/>
      <c r="P31" s="131"/>
    </row>
    <row r="32" spans="1:16" ht="14.45" x14ac:dyDescent="0.3">
      <c r="A32" s="131"/>
      <c r="B32" s="1035"/>
      <c r="C32" s="1035"/>
      <c r="D32" s="1035"/>
      <c r="E32" s="1042"/>
      <c r="F32" s="1052"/>
      <c r="G32" s="1035"/>
      <c r="H32" s="1035"/>
      <c r="I32" s="1051"/>
      <c r="J32" s="1050"/>
      <c r="K32" s="1049"/>
      <c r="L32" s="1048"/>
      <c r="M32" s="1047"/>
      <c r="N32" s="1047"/>
      <c r="O32" s="1046"/>
      <c r="P32" s="131"/>
    </row>
    <row r="33" spans="1:16" ht="14.45" x14ac:dyDescent="0.3">
      <c r="A33" s="131"/>
      <c r="B33" s="1039"/>
      <c r="C33" s="1039"/>
      <c r="D33" s="1039"/>
      <c r="E33" s="1039"/>
      <c r="F33" s="1039"/>
      <c r="G33" s="1039"/>
      <c r="H33" s="1039"/>
      <c r="I33" s="1039"/>
      <c r="J33" s="1039"/>
      <c r="K33" s="1039"/>
      <c r="L33" s="1039"/>
      <c r="M33" s="1039"/>
      <c r="N33" s="1041"/>
      <c r="O33" s="1040"/>
      <c r="P33" s="131"/>
    </row>
    <row r="34" spans="1:16" x14ac:dyDescent="0.25">
      <c r="A34" s="131"/>
      <c r="B34" s="131"/>
      <c r="C34" s="131"/>
      <c r="D34" s="131"/>
      <c r="E34" s="131"/>
      <c r="F34" s="131"/>
      <c r="G34" s="131"/>
      <c r="H34" s="131"/>
      <c r="I34" s="131"/>
      <c r="J34" s="131"/>
      <c r="K34" s="131"/>
      <c r="L34" s="131"/>
      <c r="M34" s="131"/>
      <c r="N34" s="131"/>
      <c r="O34" s="131"/>
      <c r="P34" s="131"/>
    </row>
    <row r="35" spans="1:16" x14ac:dyDescent="0.25">
      <c r="A35" s="131"/>
      <c r="B35" s="1039"/>
      <c r="C35" s="1039"/>
      <c r="D35" s="1039"/>
      <c r="E35" s="1039"/>
      <c r="F35" s="1039"/>
      <c r="G35" s="1039"/>
      <c r="H35" s="1039"/>
      <c r="I35" s="1039"/>
      <c r="J35" s="1039"/>
      <c r="K35" s="1039"/>
      <c r="L35" s="1039"/>
      <c r="M35" s="1039"/>
      <c r="N35" s="1039"/>
      <c r="O35" s="1039"/>
      <c r="P35" s="131"/>
    </row>
    <row r="36" spans="1:16" x14ac:dyDescent="0.25">
      <c r="A36" s="131"/>
      <c r="B36" s="1035"/>
      <c r="C36" s="187"/>
      <c r="D36" s="1045"/>
      <c r="E36" s="1042"/>
      <c r="F36" s="1035"/>
      <c r="G36" s="1035"/>
      <c r="H36" s="1043"/>
      <c r="I36" s="1044"/>
      <c r="J36" s="1042"/>
      <c r="K36" s="1137"/>
      <c r="L36" s="1137"/>
      <c r="M36" s="1137"/>
      <c r="N36" s="1137"/>
      <c r="O36" s="1137"/>
      <c r="P36" s="131"/>
    </row>
    <row r="37" spans="1:16" x14ac:dyDescent="0.25">
      <c r="A37" s="131"/>
      <c r="B37" s="1035"/>
      <c r="C37" s="187"/>
      <c r="D37" s="1045"/>
      <c r="E37" s="1042"/>
      <c r="F37" s="1035"/>
      <c r="G37" s="1044"/>
      <c r="H37" s="1043"/>
      <c r="I37" s="1035"/>
      <c r="J37" s="1042"/>
      <c r="K37" s="1137"/>
      <c r="L37" s="1137"/>
      <c r="M37" s="1137"/>
      <c r="N37" s="1137"/>
      <c r="O37" s="1137"/>
      <c r="P37" s="131"/>
    </row>
    <row r="38" spans="1:16" x14ac:dyDescent="0.25">
      <c r="A38" s="131"/>
      <c r="B38" s="1039"/>
      <c r="C38" s="1039"/>
      <c r="D38" s="1039"/>
      <c r="E38" s="1039"/>
      <c r="F38" s="1039"/>
      <c r="G38" s="1039"/>
      <c r="H38" s="1039"/>
      <c r="I38" s="1041"/>
      <c r="J38" s="1040"/>
      <c r="K38" s="1039"/>
      <c r="L38" s="1039"/>
      <c r="M38" s="1039"/>
      <c r="N38" s="1039"/>
      <c r="O38" s="1039"/>
      <c r="P38" s="131"/>
    </row>
    <row r="39" spans="1:16" x14ac:dyDescent="0.25">
      <c r="A39" s="131"/>
      <c r="B39" s="1137"/>
      <c r="C39" s="1137"/>
      <c r="D39" s="1137"/>
      <c r="E39" s="1137"/>
      <c r="F39" s="1137"/>
      <c r="G39" s="1137"/>
      <c r="H39" s="1137"/>
      <c r="I39" s="1038"/>
      <c r="J39" s="1037"/>
      <c r="K39" s="1137"/>
      <c r="L39" s="1035"/>
      <c r="M39" s="1035"/>
      <c r="N39" s="1035"/>
      <c r="O39" s="1035"/>
      <c r="P39" s="131"/>
    </row>
    <row r="40" spans="1:16" x14ac:dyDescent="0.25">
      <c r="B40" s="1034"/>
      <c r="C40" s="1034"/>
      <c r="D40" s="1034"/>
      <c r="E40" s="1034"/>
      <c r="F40" s="1034"/>
      <c r="G40" s="1034"/>
      <c r="H40" s="1034"/>
      <c r="I40" s="1034"/>
      <c r="J40" s="1034"/>
      <c r="K40" s="1034"/>
      <c r="L40" s="1034"/>
      <c r="M40" s="1034"/>
      <c r="N40" s="1034"/>
      <c r="O40" s="1034"/>
    </row>
  </sheetData>
  <hyperlinks>
    <hyperlink ref="B4" location="BR_A0001" display="BR_A0001"/>
    <hyperlink ref="G2" location="SU_A1300_BOM" display="Back to BOM"/>
    <hyperlink ref="E3" location="dSU_13002" display="Drawing"/>
  </hyperlinks>
  <pageMargins left="0.31496062992125984" right="0.31496062992125984" top="0.31496062992125984" bottom="0.39370078740157483" header="0.51181102362204722" footer="0.31496062992125984"/>
  <pageSetup paperSize="9" scale="52" fitToHeight="99" orientation="landscape" horizontalDpi="1200" verticalDpi="1200" r:id="rId1"/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539</v>
      </c>
    </row>
  </sheetData>
  <hyperlinks>
    <hyperlink ref="B1" location="SU_13002" display="SU_13002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L58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20" style="103" customWidth="1"/>
    <col min="2" max="16384" width="11.5703125" style="103"/>
  </cols>
  <sheetData>
    <row r="1" spans="1:2" ht="14.45" x14ac:dyDescent="0.3">
      <c r="A1" s="103" t="s">
        <v>89</v>
      </c>
      <c r="B1" s="60" t="str">
        <f>SU_01007</f>
        <v>SU_01007</v>
      </c>
    </row>
    <row r="58" spans="12:12" x14ac:dyDescent="0.25">
      <c r="L58" s="57">
        <f>'SU 01002'!L52</f>
        <v>0</v>
      </c>
    </row>
  </sheetData>
  <hyperlinks>
    <hyperlink ref="B1" location="SU_01007" display="SU_01007"/>
    <hyperlink ref="L58" location="BR_01001" display="BR_01001"/>
  </hyperlinks>
  <pageMargins left="0.31496062992125984" right="0.31496062992125984" top="0.31496062992125984" bottom="0.39370078740157483" header="0.51181102362204722" footer="0.31496062992125984"/>
  <pageSetup paperSize="9" scale="97" fitToHeight="99" orientation="landscape" horizontalDpi="1200" verticalDpi="12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21.28515625" style="103" customWidth="1"/>
    <col min="3" max="3" width="17.42578125" style="103" customWidth="1"/>
    <col min="4" max="4" width="9.5703125" style="103" customWidth="1"/>
    <col min="5" max="5" width="8" style="103" customWidth="1"/>
    <col min="6" max="6" width="11.5703125" style="103"/>
    <col min="7" max="7" width="16.28515625" style="103" customWidth="1"/>
    <col min="8" max="8" width="8.7109375" style="103" customWidth="1"/>
    <col min="9" max="9" width="11.5703125" style="103"/>
    <col min="10" max="10" width="9.7109375" style="103" customWidth="1"/>
    <col min="11" max="12" width="11.5703125" style="103"/>
    <col min="13" max="13" width="12.7109375" style="103" customWidth="1"/>
    <col min="14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501" t="s">
        <v>1</v>
      </c>
      <c r="C2" s="469"/>
      <c r="D2" s="469"/>
      <c r="E2" s="469"/>
      <c r="F2" s="184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SU_01008_m+SU_01008_p</f>
        <v>1.3930602499999998</v>
      </c>
      <c r="O2" s="451"/>
    </row>
    <row r="3" spans="1:15" ht="14.45" x14ac:dyDescent="0.3">
      <c r="A3" s="500" t="s">
        <v>5</v>
      </c>
      <c r="B3" s="501" t="str">
        <f>'SU A0100'!B3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507" t="str">
        <f>'SU A0100'!B4</f>
        <v>Upper Front A-arm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257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SU_01008_q*N2</f>
        <v>1.3930602499999998</v>
      </c>
      <c r="O5" s="451"/>
    </row>
    <row r="6" spans="1:15" ht="14.45" x14ac:dyDescent="0.3">
      <c r="A6" s="500" t="s">
        <v>9</v>
      </c>
      <c r="B6" s="503" t="s">
        <v>256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28.9" customHeight="1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5.3537000000000001E-2</v>
      </c>
      <c r="F11" s="491" t="s">
        <v>43</v>
      </c>
      <c r="G11" s="491"/>
      <c r="H11" s="488"/>
      <c r="I11" s="490" t="s">
        <v>83</v>
      </c>
      <c r="J11" s="489">
        <f>0.062*0.022</f>
        <v>1.364E-3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0.12045825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2.728E-3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2.7279999999999999E-2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0.14773825000000002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34.15" customHeight="1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474">
        <v>13.6</v>
      </c>
      <c r="G17" s="460"/>
      <c r="H17" s="459"/>
      <c r="I17" s="473">
        <f>IF(H17="",D17*F17,D17*F17*H17)</f>
        <v>0.13600000000000001</v>
      </c>
      <c r="J17" s="470"/>
      <c r="K17" s="469"/>
      <c r="L17" s="469"/>
      <c r="M17" s="469"/>
      <c r="N17" s="469"/>
      <c r="O17" s="451"/>
    </row>
    <row r="18" spans="1:15" ht="29.45" customHeight="1" x14ac:dyDescent="0.3">
      <c r="A18" s="464">
        <v>30</v>
      </c>
      <c r="B18" s="472" t="s">
        <v>81</v>
      </c>
      <c r="C18" s="466"/>
      <c r="D18" s="467">
        <v>0.65</v>
      </c>
      <c r="E18" s="466" t="s">
        <v>24</v>
      </c>
      <c r="F18" s="466">
        <v>1</v>
      </c>
      <c r="G18" s="471" t="s">
        <v>117</v>
      </c>
      <c r="H18" s="466">
        <v>0.5</v>
      </c>
      <c r="I18" s="458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ht="14.45" x14ac:dyDescent="0.3">
      <c r="A19" s="468">
        <v>40</v>
      </c>
      <c r="B19" s="466" t="s">
        <v>80</v>
      </c>
      <c r="C19" s="466" t="s">
        <v>255</v>
      </c>
      <c r="D19" s="467">
        <v>0.04</v>
      </c>
      <c r="E19" s="466" t="s">
        <v>79</v>
      </c>
      <c r="F19" s="466">
        <v>1</v>
      </c>
      <c r="G19" s="466" t="s">
        <v>95</v>
      </c>
      <c r="H19" s="466">
        <v>3</v>
      </c>
      <c r="I19" s="458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x14ac:dyDescent="0.25">
      <c r="A20" s="464">
        <v>50</v>
      </c>
      <c r="B20" s="460" t="s">
        <v>74</v>
      </c>
      <c r="C20" s="463" t="s">
        <v>123</v>
      </c>
      <c r="D20" s="462">
        <v>5.25</v>
      </c>
      <c r="E20" s="460" t="s">
        <v>73</v>
      </c>
      <c r="F20" s="461">
        <f>2*J11</f>
        <v>2.728E-3</v>
      </c>
      <c r="G20" s="460"/>
      <c r="H20" s="459"/>
      <c r="I20" s="458">
        <f>F20*D20</f>
        <v>1.4322E-2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1.2453219999999998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F2" location="SU_A0100_BOM" display="Back to BOM"/>
    <hyperlink ref="B4" location="'SU A0100'!A1" display="'SU A0100'!A1"/>
    <hyperlink ref="E3" location="dSU_01008" display="Drawing"/>
  </hyperlinks>
  <pageMargins left="0.31496062992125984" right="0.31496062992125984" top="0.31496062992125984" bottom="0.39370078740157483" header="0.51181102362204722" footer="0.31496062992125984"/>
  <pageSetup paperSize="9" scale="77" fitToHeight="99" orientation="landscape" horizontalDpi="1200" verticalDpi="1200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L5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3.28515625" style="103" customWidth="1"/>
    <col min="2" max="16384" width="11.5703125" style="103"/>
  </cols>
  <sheetData>
    <row r="1" spans="1:12" x14ac:dyDescent="0.3">
      <c r="A1" s="103" t="s">
        <v>88</v>
      </c>
      <c r="B1" s="60" t="s">
        <v>256</v>
      </c>
    </row>
    <row r="5" spans="1:12" x14ac:dyDescent="0.3">
      <c r="L5" s="244"/>
    </row>
  </sheetData>
  <hyperlinks>
    <hyperlink ref="B1" location="SU_01008" display="SU_01008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topLeftCell="A4"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2" width="11.5703125" style="103"/>
    <col min="3" max="3" width="18.28515625" style="103" customWidth="1"/>
    <col min="4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549" t="s">
        <v>0</v>
      </c>
      <c r="B2" s="104" t="s">
        <v>1</v>
      </c>
      <c r="C2" s="525"/>
      <c r="D2" s="525"/>
      <c r="E2" s="525"/>
      <c r="F2" s="184" t="s">
        <v>2</v>
      </c>
      <c r="G2" s="525"/>
      <c r="H2" s="525"/>
      <c r="I2" s="525"/>
      <c r="J2" s="377" t="s">
        <v>3</v>
      </c>
      <c r="K2" s="552">
        <v>81</v>
      </c>
      <c r="L2" s="525"/>
      <c r="M2" s="550" t="s">
        <v>18</v>
      </c>
      <c r="N2" s="504">
        <f>SU_01009_m+SU_01009_p</f>
        <v>1.3590899374999998</v>
      </c>
      <c r="O2" s="128"/>
    </row>
    <row r="3" spans="1:15" ht="14.45" x14ac:dyDescent="0.3">
      <c r="A3" s="549" t="s">
        <v>5</v>
      </c>
      <c r="B3" s="104" t="str">
        <f>'SU A0100'!B3</f>
        <v>Suspension &amp; Shocks</v>
      </c>
      <c r="C3" s="552"/>
      <c r="D3" s="420" t="s">
        <v>8</v>
      </c>
      <c r="E3" s="60" t="s">
        <v>84</v>
      </c>
      <c r="F3" s="525"/>
      <c r="G3" s="525"/>
      <c r="H3" s="525"/>
      <c r="I3" s="525"/>
      <c r="J3" s="525"/>
      <c r="K3" s="525"/>
      <c r="L3" s="525"/>
      <c r="M3" s="550" t="s">
        <v>6</v>
      </c>
      <c r="N3" s="551">
        <v>1</v>
      </c>
      <c r="O3" s="128"/>
    </row>
    <row r="4" spans="1:15" ht="14.45" x14ac:dyDescent="0.3">
      <c r="A4" s="549" t="s">
        <v>7</v>
      </c>
      <c r="B4" s="58" t="str">
        <f>'SU A0100'!B4</f>
        <v>Upper Front A-arm</v>
      </c>
      <c r="C4" s="525"/>
      <c r="D4" s="420" t="s">
        <v>10</v>
      </c>
      <c r="E4" s="80"/>
      <c r="F4" s="525"/>
      <c r="G4" s="525"/>
      <c r="H4" s="525"/>
      <c r="I4" s="525"/>
      <c r="J4" s="377" t="s">
        <v>8</v>
      </c>
      <c r="K4" s="525"/>
      <c r="L4" s="525"/>
      <c r="M4" s="525"/>
      <c r="N4" s="525"/>
      <c r="O4" s="128"/>
    </row>
    <row r="5" spans="1:15" ht="14.45" x14ac:dyDescent="0.3">
      <c r="A5" s="549" t="s">
        <v>17</v>
      </c>
      <c r="B5" s="134" t="s">
        <v>259</v>
      </c>
      <c r="C5" s="525"/>
      <c r="D5" s="420" t="s">
        <v>14</v>
      </c>
      <c r="E5" s="80"/>
      <c r="F5" s="525"/>
      <c r="G5" s="525"/>
      <c r="H5" s="525"/>
      <c r="I5" s="525"/>
      <c r="J5" s="377" t="s">
        <v>10</v>
      </c>
      <c r="K5" s="525"/>
      <c r="L5" s="525"/>
      <c r="M5" s="550" t="s">
        <v>11</v>
      </c>
      <c r="N5" s="504">
        <f>SU_01009_q*N2</f>
        <v>1.3590899374999998</v>
      </c>
      <c r="O5" s="128"/>
    </row>
    <row r="6" spans="1:15" ht="14.45" x14ac:dyDescent="0.3">
      <c r="A6" s="549" t="s">
        <v>9</v>
      </c>
      <c r="B6" s="109" t="s">
        <v>258</v>
      </c>
      <c r="C6" s="525"/>
      <c r="D6" s="525"/>
      <c r="E6" s="525"/>
      <c r="F6" s="525"/>
      <c r="G6" s="525"/>
      <c r="H6" s="525"/>
      <c r="I6" s="525"/>
      <c r="J6" s="377" t="s">
        <v>14</v>
      </c>
      <c r="K6" s="525"/>
      <c r="L6" s="525"/>
      <c r="M6" s="525"/>
      <c r="N6" s="525"/>
      <c r="O6" s="128"/>
    </row>
    <row r="7" spans="1:15" ht="14.45" x14ac:dyDescent="0.3">
      <c r="A7" s="549" t="s">
        <v>12</v>
      </c>
      <c r="B7" s="104" t="s">
        <v>13</v>
      </c>
      <c r="C7" s="525"/>
      <c r="D7" s="525"/>
      <c r="E7" s="525"/>
      <c r="F7" s="525"/>
      <c r="G7" s="525"/>
      <c r="H7" s="525"/>
      <c r="I7" s="525"/>
      <c r="J7" s="525"/>
      <c r="K7" s="525"/>
      <c r="L7" s="525"/>
      <c r="M7" s="525"/>
      <c r="N7" s="525"/>
      <c r="O7" s="128"/>
    </row>
    <row r="8" spans="1:15" ht="14.45" x14ac:dyDescent="0.3">
      <c r="A8" s="549" t="s">
        <v>15</v>
      </c>
      <c r="B8" s="525" t="s">
        <v>124</v>
      </c>
      <c r="C8" s="525"/>
      <c r="D8" s="525"/>
      <c r="E8" s="525"/>
      <c r="F8" s="525"/>
      <c r="G8" s="525"/>
      <c r="H8" s="525"/>
      <c r="I8" s="525"/>
      <c r="J8" s="525"/>
      <c r="K8" s="525"/>
      <c r="L8" s="525"/>
      <c r="M8" s="525"/>
      <c r="N8" s="525"/>
      <c r="O8" s="128"/>
    </row>
    <row r="9" spans="1:15" ht="14.45" x14ac:dyDescent="0.3">
      <c r="A9" s="534"/>
      <c r="B9" s="525"/>
      <c r="C9" s="525"/>
      <c r="D9" s="525"/>
      <c r="E9" s="525"/>
      <c r="F9" s="525"/>
      <c r="G9" s="525"/>
      <c r="H9" s="525"/>
      <c r="I9" s="525"/>
      <c r="J9" s="525"/>
      <c r="K9" s="525"/>
      <c r="L9" s="525"/>
      <c r="M9" s="525"/>
      <c r="N9" s="525"/>
      <c r="O9" s="128"/>
    </row>
    <row r="10" spans="1:15" ht="14.45" x14ac:dyDescent="0.3">
      <c r="A10" s="533" t="s">
        <v>16</v>
      </c>
      <c r="B10" s="532" t="s">
        <v>38</v>
      </c>
      <c r="C10" s="532" t="s">
        <v>22</v>
      </c>
      <c r="D10" s="532" t="s">
        <v>23</v>
      </c>
      <c r="E10" s="532" t="s">
        <v>31</v>
      </c>
      <c r="F10" s="532" t="s">
        <v>32</v>
      </c>
      <c r="G10" s="532" t="s">
        <v>33</v>
      </c>
      <c r="H10" s="532" t="s">
        <v>34</v>
      </c>
      <c r="I10" s="532" t="s">
        <v>39</v>
      </c>
      <c r="J10" s="532" t="s">
        <v>40</v>
      </c>
      <c r="K10" s="532" t="s">
        <v>41</v>
      </c>
      <c r="L10" s="532" t="s">
        <v>42</v>
      </c>
      <c r="M10" s="532" t="s">
        <v>19</v>
      </c>
      <c r="N10" s="532" t="s">
        <v>20</v>
      </c>
      <c r="O10" s="128"/>
    </row>
    <row r="11" spans="1:15" ht="28.9" x14ac:dyDescent="0.3">
      <c r="A11" s="546">
        <v>10</v>
      </c>
      <c r="B11" s="545" t="s">
        <v>112</v>
      </c>
      <c r="C11" s="544" t="s">
        <v>115</v>
      </c>
      <c r="D11" s="548">
        <v>2.25</v>
      </c>
      <c r="E11" s="547">
        <f>J11*K11*L11</f>
        <v>5.2555749999999998E-2</v>
      </c>
      <c r="F11" s="540" t="s">
        <v>43</v>
      </c>
      <c r="G11" s="540"/>
      <c r="H11" s="537"/>
      <c r="I11" s="539" t="s">
        <v>83</v>
      </c>
      <c r="J11" s="538">
        <v>1.3389999999999999E-3</v>
      </c>
      <c r="K11" s="538">
        <v>5.0000000000000001E-3</v>
      </c>
      <c r="L11" s="536">
        <v>7850</v>
      </c>
      <c r="M11" s="536">
        <v>1</v>
      </c>
      <c r="N11" s="535">
        <f>IF(J11="",D11*M11,D11*J11*K11*L11*M11)</f>
        <v>0.1182504375</v>
      </c>
      <c r="O11" s="128"/>
    </row>
    <row r="12" spans="1:15" ht="14.45" x14ac:dyDescent="0.3">
      <c r="A12" s="546">
        <v>20</v>
      </c>
      <c r="B12" s="545" t="s">
        <v>116</v>
      </c>
      <c r="C12" s="544"/>
      <c r="D12" s="543">
        <v>10</v>
      </c>
      <c r="E12" s="542">
        <f>2*J11</f>
        <v>2.6779999999999998E-3</v>
      </c>
      <c r="F12" s="541" t="s">
        <v>73</v>
      </c>
      <c r="G12" s="540"/>
      <c r="H12" s="537"/>
      <c r="I12" s="539"/>
      <c r="J12" s="538"/>
      <c r="K12" s="537"/>
      <c r="L12" s="536"/>
      <c r="M12" s="536"/>
      <c r="N12" s="535">
        <f>E12*D12</f>
        <v>2.6779999999999998E-2</v>
      </c>
      <c r="O12" s="128"/>
    </row>
    <row r="13" spans="1:15" ht="14.45" x14ac:dyDescent="0.3">
      <c r="A13" s="515"/>
      <c r="B13" s="514"/>
      <c r="C13" s="514"/>
      <c r="D13" s="514"/>
      <c r="E13" s="514"/>
      <c r="F13" s="514"/>
      <c r="G13" s="514"/>
      <c r="H13" s="514"/>
      <c r="I13" s="514"/>
      <c r="J13" s="514"/>
      <c r="K13" s="514"/>
      <c r="L13" s="514"/>
      <c r="M13" s="513" t="s">
        <v>20</v>
      </c>
      <c r="N13" s="485">
        <f>SUM(N11:N12)</f>
        <v>0.1450304375</v>
      </c>
      <c r="O13" s="128"/>
    </row>
    <row r="14" spans="1:15" ht="14.45" x14ac:dyDescent="0.3">
      <c r="A14" s="534"/>
      <c r="B14" s="525"/>
      <c r="C14" s="525"/>
      <c r="D14" s="525"/>
      <c r="E14" s="525"/>
      <c r="F14" s="525"/>
      <c r="G14" s="525"/>
      <c r="H14" s="525"/>
      <c r="I14" s="525"/>
      <c r="J14" s="525"/>
      <c r="K14" s="525"/>
      <c r="L14" s="525"/>
      <c r="M14" s="525"/>
      <c r="N14" s="525"/>
      <c r="O14" s="128"/>
    </row>
    <row r="15" spans="1:15" ht="14.45" x14ac:dyDescent="0.3">
      <c r="A15" s="533" t="s">
        <v>16</v>
      </c>
      <c r="B15" s="532" t="s">
        <v>21</v>
      </c>
      <c r="C15" s="532" t="s">
        <v>22</v>
      </c>
      <c r="D15" s="532" t="s">
        <v>23</v>
      </c>
      <c r="E15" s="532" t="s">
        <v>24</v>
      </c>
      <c r="F15" s="532" t="s">
        <v>19</v>
      </c>
      <c r="G15" s="532" t="s">
        <v>25</v>
      </c>
      <c r="H15" s="532" t="s">
        <v>26</v>
      </c>
      <c r="I15" s="532" t="s">
        <v>20</v>
      </c>
      <c r="J15" s="514"/>
      <c r="K15" s="514"/>
      <c r="L15" s="514"/>
      <c r="M15" s="514"/>
      <c r="N15" s="514"/>
      <c r="O15" s="128"/>
    </row>
    <row r="16" spans="1:15" ht="41.45" customHeight="1" x14ac:dyDescent="0.3">
      <c r="A16" s="521">
        <v>10</v>
      </c>
      <c r="B16" s="518" t="s">
        <v>81</v>
      </c>
      <c r="C16" s="526" t="s">
        <v>122</v>
      </c>
      <c r="D16" s="531">
        <v>1.3</v>
      </c>
      <c r="E16" s="518" t="s">
        <v>24</v>
      </c>
      <c r="F16" s="470">
        <v>1</v>
      </c>
      <c r="G16" s="526" t="s">
        <v>117</v>
      </c>
      <c r="H16" s="517">
        <v>0.5</v>
      </c>
      <c r="I16" s="528">
        <f>H16*D16</f>
        <v>0.65</v>
      </c>
      <c r="J16" s="470"/>
      <c r="K16" s="525"/>
      <c r="L16" s="525"/>
      <c r="M16" s="525"/>
      <c r="N16" s="525"/>
      <c r="O16" s="128"/>
    </row>
    <row r="17" spans="1:15" ht="14.45" x14ac:dyDescent="0.3">
      <c r="A17" s="524">
        <v>20</v>
      </c>
      <c r="B17" s="530" t="s">
        <v>94</v>
      </c>
      <c r="C17" s="477"/>
      <c r="D17" s="531">
        <v>0.01</v>
      </c>
      <c r="E17" s="530" t="s">
        <v>76</v>
      </c>
      <c r="F17" s="529">
        <v>13.8</v>
      </c>
      <c r="G17" s="518"/>
      <c r="H17" s="517"/>
      <c r="I17" s="528">
        <f>IF(H17="",D17*F17,D17*F17*H17)</f>
        <v>0.13800000000000001</v>
      </c>
      <c r="J17" s="470"/>
      <c r="K17" s="525"/>
      <c r="L17" s="525"/>
      <c r="M17" s="525"/>
      <c r="N17" s="525"/>
      <c r="O17" s="128"/>
    </row>
    <row r="18" spans="1:15" ht="43.15" x14ac:dyDescent="0.3">
      <c r="A18" s="521">
        <v>30</v>
      </c>
      <c r="B18" s="527" t="s">
        <v>81</v>
      </c>
      <c r="C18" s="522"/>
      <c r="D18" s="523">
        <v>0.65</v>
      </c>
      <c r="E18" s="522" t="s">
        <v>24</v>
      </c>
      <c r="F18" s="522">
        <v>1</v>
      </c>
      <c r="G18" s="526" t="s">
        <v>117</v>
      </c>
      <c r="H18" s="522">
        <v>0.5</v>
      </c>
      <c r="I18" s="516">
        <f>IF(H18="",D18*F18,D18*F18*H18)</f>
        <v>0.32500000000000001</v>
      </c>
      <c r="J18" s="470"/>
      <c r="K18" s="525"/>
      <c r="L18" s="525"/>
      <c r="M18" s="525"/>
      <c r="N18" s="525"/>
      <c r="O18" s="128"/>
    </row>
    <row r="19" spans="1:15" ht="14.45" x14ac:dyDescent="0.3">
      <c r="A19" s="524">
        <v>40</v>
      </c>
      <c r="B19" s="522" t="s">
        <v>80</v>
      </c>
      <c r="C19" s="522" t="s">
        <v>255</v>
      </c>
      <c r="D19" s="523">
        <v>2.9000000000000001E-2</v>
      </c>
      <c r="E19" s="522" t="s">
        <v>79</v>
      </c>
      <c r="F19" s="522">
        <v>1</v>
      </c>
      <c r="G19" s="522" t="s">
        <v>95</v>
      </c>
      <c r="H19" s="522">
        <v>3</v>
      </c>
      <c r="I19" s="516">
        <f>IF(H19="",D19*F19,D19*F19*H19)</f>
        <v>8.7000000000000008E-2</v>
      </c>
      <c r="J19" s="465"/>
      <c r="K19" s="514"/>
      <c r="L19" s="514"/>
      <c r="M19" s="514"/>
      <c r="N19" s="514"/>
      <c r="O19" s="128"/>
    </row>
    <row r="20" spans="1:15" ht="28.9" x14ac:dyDescent="0.3">
      <c r="A20" s="521">
        <v>50</v>
      </c>
      <c r="B20" s="518" t="s">
        <v>74</v>
      </c>
      <c r="C20" s="477" t="s">
        <v>123</v>
      </c>
      <c r="D20" s="520">
        <v>5.25</v>
      </c>
      <c r="E20" s="518" t="s">
        <v>73</v>
      </c>
      <c r="F20" s="519">
        <f>2*J11</f>
        <v>2.6779999999999998E-3</v>
      </c>
      <c r="G20" s="518"/>
      <c r="H20" s="517"/>
      <c r="I20" s="516">
        <f>F20*D20</f>
        <v>1.4059499999999999E-2</v>
      </c>
      <c r="J20" s="264"/>
      <c r="K20" s="105"/>
      <c r="L20" s="105"/>
      <c r="M20" s="105"/>
      <c r="N20" s="105"/>
      <c r="O20" s="128"/>
    </row>
    <row r="21" spans="1:15" x14ac:dyDescent="0.25">
      <c r="A21" s="515"/>
      <c r="B21" s="514"/>
      <c r="C21" s="514"/>
      <c r="D21" s="514"/>
      <c r="E21" s="514"/>
      <c r="F21" s="514"/>
      <c r="G21" s="514"/>
      <c r="H21" s="513" t="s">
        <v>20</v>
      </c>
      <c r="I21" s="453">
        <f>SUM(I16:I20)</f>
        <v>1.2140594999999998</v>
      </c>
      <c r="J21" s="105"/>
      <c r="K21" s="105"/>
      <c r="L21" s="105"/>
      <c r="M21" s="105"/>
      <c r="N21" s="105"/>
      <c r="O21" s="128"/>
    </row>
    <row r="22" spans="1:15" ht="15.75" thickBot="1" x14ac:dyDescent="0.3">
      <c r="A22" s="138"/>
      <c r="B22" s="139"/>
      <c r="C22" s="139"/>
      <c r="D22" s="139"/>
      <c r="E22" s="139"/>
      <c r="F22" s="139"/>
      <c r="G22" s="139"/>
      <c r="H22" s="139"/>
      <c r="I22" s="139"/>
      <c r="J22" s="139"/>
      <c r="K22" s="139"/>
      <c r="L22" s="139"/>
      <c r="M22" s="139"/>
      <c r="N22" s="139"/>
      <c r="O22" s="140"/>
    </row>
  </sheetData>
  <hyperlinks>
    <hyperlink ref="B4" location="'SU A0100'!A1" display="'SU A0100'!A1"/>
    <hyperlink ref="F2" location="SU_A0100_BOM" display="Back to BOM"/>
    <hyperlink ref="E3" location="dSU_01009" display="Drawing"/>
  </hyperlinks>
  <pageMargins left="0.31496062992125984" right="0.31496062992125984" top="0.31496062992125984" bottom="0.39370078740157483" header="0.51181102362204722" footer="0.31496062992125984"/>
  <pageSetup paperSize="9" scale="79" fitToHeight="99" orientation="landscape" horizontalDpi="1200" verticalDpi="12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2.7109375" style="103" customWidth="1"/>
    <col min="2" max="16384" width="11.5703125" style="103"/>
  </cols>
  <sheetData>
    <row r="1" spans="1:2" x14ac:dyDescent="0.3">
      <c r="A1" s="103" t="s">
        <v>88</v>
      </c>
      <c r="B1" s="60" t="s">
        <v>258</v>
      </c>
    </row>
  </sheetData>
  <hyperlinks>
    <hyperlink ref="B1" location="SU_01009" display="SU_01009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549" t="s">
        <v>0</v>
      </c>
      <c r="B2" s="104" t="s">
        <v>1</v>
      </c>
      <c r="C2" s="525"/>
      <c r="D2" s="525"/>
      <c r="E2" s="525"/>
      <c r="F2" s="184" t="s">
        <v>2</v>
      </c>
      <c r="G2" s="525"/>
      <c r="H2" s="525"/>
      <c r="I2" s="525"/>
      <c r="J2" s="377" t="s">
        <v>3</v>
      </c>
      <c r="K2" s="552">
        <v>81</v>
      </c>
      <c r="L2" s="525"/>
      <c r="M2" s="550" t="s">
        <v>18</v>
      </c>
      <c r="N2" s="504">
        <f>SU_01010_m+SU_01010_p</f>
        <v>1.3143274375</v>
      </c>
      <c r="O2" s="128"/>
    </row>
    <row r="3" spans="1:15" ht="14.45" x14ac:dyDescent="0.3">
      <c r="A3" s="549" t="s">
        <v>5</v>
      </c>
      <c r="B3" s="104" t="str">
        <f>'SU A0100'!B3</f>
        <v>Suspension &amp; Shocks</v>
      </c>
      <c r="C3" s="552"/>
      <c r="D3" s="420" t="s">
        <v>8</v>
      </c>
      <c r="E3" s="60" t="s">
        <v>84</v>
      </c>
      <c r="F3" s="525"/>
      <c r="G3" s="525"/>
      <c r="H3" s="525"/>
      <c r="I3" s="525"/>
      <c r="J3" s="525"/>
      <c r="K3" s="525"/>
      <c r="L3" s="525"/>
      <c r="M3" s="550" t="s">
        <v>6</v>
      </c>
      <c r="N3" s="551">
        <v>1</v>
      </c>
      <c r="O3" s="128"/>
    </row>
    <row r="4" spans="1:15" ht="14.45" x14ac:dyDescent="0.3">
      <c r="A4" s="549" t="s">
        <v>7</v>
      </c>
      <c r="B4" s="58" t="str">
        <f>'SU A0100'!B4</f>
        <v>Upper Front A-arm</v>
      </c>
      <c r="C4" s="525"/>
      <c r="D4" s="420" t="s">
        <v>10</v>
      </c>
      <c r="E4" s="80"/>
      <c r="F4" s="525"/>
      <c r="G4" s="525"/>
      <c r="H4" s="525"/>
      <c r="I4" s="525"/>
      <c r="J4" s="377" t="s">
        <v>8</v>
      </c>
      <c r="K4" s="525"/>
      <c r="L4" s="525"/>
      <c r="M4" s="525"/>
      <c r="N4" s="525"/>
      <c r="O4" s="128"/>
    </row>
    <row r="5" spans="1:15" ht="14.45" x14ac:dyDescent="0.3">
      <c r="A5" s="549" t="s">
        <v>17</v>
      </c>
      <c r="B5" s="134" t="s">
        <v>261</v>
      </c>
      <c r="C5" s="525"/>
      <c r="D5" s="420" t="s">
        <v>14</v>
      </c>
      <c r="E5" s="80"/>
      <c r="F5" s="525"/>
      <c r="G5" s="525"/>
      <c r="H5" s="525"/>
      <c r="I5" s="525"/>
      <c r="J5" s="377" t="s">
        <v>10</v>
      </c>
      <c r="K5" s="525"/>
      <c r="L5" s="525"/>
      <c r="M5" s="550" t="s">
        <v>11</v>
      </c>
      <c r="N5" s="553">
        <f>N2*SU_01010_q</f>
        <v>1.3143274375</v>
      </c>
      <c r="O5" s="128"/>
    </row>
    <row r="6" spans="1:15" ht="14.45" x14ac:dyDescent="0.3">
      <c r="A6" s="549" t="s">
        <v>9</v>
      </c>
      <c r="B6" s="109" t="s">
        <v>260</v>
      </c>
      <c r="C6" s="525"/>
      <c r="D6" s="525"/>
      <c r="E6" s="525"/>
      <c r="F6" s="525"/>
      <c r="G6" s="525"/>
      <c r="H6" s="525"/>
      <c r="I6" s="525"/>
      <c r="J6" s="377" t="s">
        <v>14</v>
      </c>
      <c r="K6" s="525"/>
      <c r="L6" s="525"/>
      <c r="M6" s="525"/>
      <c r="N6" s="525"/>
      <c r="O6" s="128"/>
    </row>
    <row r="7" spans="1:15" ht="14.45" x14ac:dyDescent="0.3">
      <c r="A7" s="549" t="s">
        <v>12</v>
      </c>
      <c r="B7" s="104" t="s">
        <v>13</v>
      </c>
      <c r="C7" s="525"/>
      <c r="D7" s="525"/>
      <c r="E7" s="525"/>
      <c r="F7" s="525"/>
      <c r="G7" s="525"/>
      <c r="H7" s="525"/>
      <c r="I7" s="525"/>
      <c r="J7" s="525"/>
      <c r="K7" s="525"/>
      <c r="L7" s="525"/>
      <c r="M7" s="525"/>
      <c r="N7" s="525"/>
      <c r="O7" s="128"/>
    </row>
    <row r="8" spans="1:15" ht="14.45" x14ac:dyDescent="0.3">
      <c r="A8" s="549" t="s">
        <v>15</v>
      </c>
      <c r="B8" s="525" t="s">
        <v>124</v>
      </c>
      <c r="C8" s="525"/>
      <c r="D8" s="525"/>
      <c r="E8" s="525"/>
      <c r="F8" s="525"/>
      <c r="G8" s="525"/>
      <c r="H8" s="525"/>
      <c r="I8" s="525"/>
      <c r="J8" s="525"/>
      <c r="K8" s="525"/>
      <c r="L8" s="525"/>
      <c r="M8" s="525"/>
      <c r="N8" s="525"/>
      <c r="O8" s="128"/>
    </row>
    <row r="9" spans="1:15" ht="14.45" x14ac:dyDescent="0.3">
      <c r="A9" s="534"/>
      <c r="B9" s="525"/>
      <c r="C9" s="525"/>
      <c r="D9" s="525"/>
      <c r="E9" s="525"/>
      <c r="F9" s="525"/>
      <c r="G9" s="525"/>
      <c r="H9" s="525"/>
      <c r="I9" s="525"/>
      <c r="J9" s="525"/>
      <c r="K9" s="525"/>
      <c r="L9" s="525"/>
      <c r="M9" s="525"/>
      <c r="N9" s="525"/>
      <c r="O9" s="128"/>
    </row>
    <row r="10" spans="1:15" ht="14.45" x14ac:dyDescent="0.3">
      <c r="A10" s="533" t="s">
        <v>16</v>
      </c>
      <c r="B10" s="532" t="s">
        <v>38</v>
      </c>
      <c r="C10" s="532" t="s">
        <v>22</v>
      </c>
      <c r="D10" s="532" t="s">
        <v>23</v>
      </c>
      <c r="E10" s="532" t="s">
        <v>31</v>
      </c>
      <c r="F10" s="532" t="s">
        <v>32</v>
      </c>
      <c r="G10" s="532" t="s">
        <v>33</v>
      </c>
      <c r="H10" s="532" t="s">
        <v>34</v>
      </c>
      <c r="I10" s="532" t="s">
        <v>39</v>
      </c>
      <c r="J10" s="532" t="s">
        <v>40</v>
      </c>
      <c r="K10" s="532" t="s">
        <v>41</v>
      </c>
      <c r="L10" s="532" t="s">
        <v>42</v>
      </c>
      <c r="M10" s="532" t="s">
        <v>19</v>
      </c>
      <c r="N10" s="532" t="s">
        <v>20</v>
      </c>
      <c r="O10" s="128"/>
    </row>
    <row r="11" spans="1:15" ht="28.9" x14ac:dyDescent="0.3">
      <c r="A11" s="546">
        <v>10</v>
      </c>
      <c r="B11" s="545" t="s">
        <v>112</v>
      </c>
      <c r="C11" s="544" t="s">
        <v>115</v>
      </c>
      <c r="D11" s="548">
        <v>2.25</v>
      </c>
      <c r="E11" s="547">
        <f>J11*K11*L11</f>
        <v>4.4705750000000002E-2</v>
      </c>
      <c r="F11" s="540" t="s">
        <v>43</v>
      </c>
      <c r="G11" s="540"/>
      <c r="H11" s="537"/>
      <c r="I11" s="539" t="s">
        <v>83</v>
      </c>
      <c r="J11" s="538">
        <v>1.139E-3</v>
      </c>
      <c r="K11" s="538">
        <v>5.0000000000000001E-3</v>
      </c>
      <c r="L11" s="536">
        <v>7850</v>
      </c>
      <c r="M11" s="536">
        <v>1</v>
      </c>
      <c r="N11" s="535">
        <f>IF(J11="",D11*M11,D11*J11*K11*L11*M11)</f>
        <v>0.10058793749999999</v>
      </c>
      <c r="O11" s="128"/>
    </row>
    <row r="12" spans="1:15" ht="14.45" x14ac:dyDescent="0.3">
      <c r="A12" s="546">
        <v>20</v>
      </c>
      <c r="B12" s="545" t="s">
        <v>116</v>
      </c>
      <c r="C12" s="544"/>
      <c r="D12" s="543">
        <v>10</v>
      </c>
      <c r="E12" s="542">
        <f>2*J11</f>
        <v>2.2780000000000001E-3</v>
      </c>
      <c r="F12" s="541" t="s">
        <v>73</v>
      </c>
      <c r="G12" s="540"/>
      <c r="H12" s="537"/>
      <c r="I12" s="539"/>
      <c r="J12" s="538"/>
      <c r="K12" s="537"/>
      <c r="L12" s="536"/>
      <c r="M12" s="536"/>
      <c r="N12" s="535">
        <f>E12*D12</f>
        <v>2.2780000000000002E-2</v>
      </c>
      <c r="O12" s="128"/>
    </row>
    <row r="13" spans="1:15" ht="14.45" x14ac:dyDescent="0.3">
      <c r="A13" s="515"/>
      <c r="B13" s="514"/>
      <c r="C13" s="514"/>
      <c r="D13" s="514"/>
      <c r="E13" s="514"/>
      <c r="F13" s="514"/>
      <c r="G13" s="514"/>
      <c r="H13" s="514"/>
      <c r="I13" s="514"/>
      <c r="J13" s="514"/>
      <c r="K13" s="514"/>
      <c r="L13" s="514"/>
      <c r="M13" s="513" t="s">
        <v>20</v>
      </c>
      <c r="N13" s="485">
        <f>SUM(N11:N12)</f>
        <v>0.1233679375</v>
      </c>
      <c r="O13" s="128"/>
    </row>
    <row r="14" spans="1:15" ht="14.45" x14ac:dyDescent="0.3">
      <c r="A14" s="534"/>
      <c r="B14" s="525"/>
      <c r="C14" s="525"/>
      <c r="D14" s="525"/>
      <c r="E14" s="525"/>
      <c r="F14" s="525"/>
      <c r="G14" s="525"/>
      <c r="H14" s="525"/>
      <c r="I14" s="525"/>
      <c r="J14" s="525"/>
      <c r="K14" s="525"/>
      <c r="L14" s="525"/>
      <c r="M14" s="525"/>
      <c r="N14" s="525"/>
      <c r="O14" s="128"/>
    </row>
    <row r="15" spans="1:15" ht="14.45" x14ac:dyDescent="0.3">
      <c r="A15" s="533" t="s">
        <v>16</v>
      </c>
      <c r="B15" s="532" t="s">
        <v>21</v>
      </c>
      <c r="C15" s="532" t="s">
        <v>22</v>
      </c>
      <c r="D15" s="532" t="s">
        <v>23</v>
      </c>
      <c r="E15" s="532" t="s">
        <v>24</v>
      </c>
      <c r="F15" s="532" t="s">
        <v>19</v>
      </c>
      <c r="G15" s="532" t="s">
        <v>25</v>
      </c>
      <c r="H15" s="532" t="s">
        <v>26</v>
      </c>
      <c r="I15" s="532" t="s">
        <v>20</v>
      </c>
      <c r="J15" s="514"/>
      <c r="K15" s="514"/>
      <c r="L15" s="514"/>
      <c r="M15" s="514"/>
      <c r="N15" s="514"/>
      <c r="O15" s="128"/>
    </row>
    <row r="16" spans="1:15" ht="57.6" x14ac:dyDescent="0.3">
      <c r="A16" s="521">
        <v>10</v>
      </c>
      <c r="B16" s="518" t="s">
        <v>81</v>
      </c>
      <c r="C16" s="526" t="s">
        <v>122</v>
      </c>
      <c r="D16" s="531">
        <v>1.3</v>
      </c>
      <c r="E16" s="518" t="s">
        <v>24</v>
      </c>
      <c r="F16" s="470">
        <v>1</v>
      </c>
      <c r="G16" s="526" t="s">
        <v>117</v>
      </c>
      <c r="H16" s="517">
        <v>0.5</v>
      </c>
      <c r="I16" s="528">
        <f>H16*D16</f>
        <v>0.65</v>
      </c>
      <c r="J16" s="470"/>
      <c r="K16" s="525"/>
      <c r="L16" s="525"/>
      <c r="M16" s="525"/>
      <c r="N16" s="525"/>
      <c r="O16" s="128"/>
    </row>
    <row r="17" spans="1:15" ht="14.45" x14ac:dyDescent="0.3">
      <c r="A17" s="524">
        <v>20</v>
      </c>
      <c r="B17" s="530" t="s">
        <v>94</v>
      </c>
      <c r="C17" s="477"/>
      <c r="D17" s="531">
        <v>0.01</v>
      </c>
      <c r="E17" s="530" t="s">
        <v>76</v>
      </c>
      <c r="F17" s="529">
        <v>11.7</v>
      </c>
      <c r="G17" s="518"/>
      <c r="H17" s="517"/>
      <c r="I17" s="528">
        <f>IF(H17="",D17*F17,D17*F17*H17)</f>
        <v>0.11699999999999999</v>
      </c>
      <c r="J17" s="470"/>
      <c r="K17" s="525"/>
      <c r="L17" s="525"/>
      <c r="M17" s="525"/>
      <c r="N17" s="525"/>
      <c r="O17" s="128"/>
    </row>
    <row r="18" spans="1:15" ht="43.15" x14ac:dyDescent="0.3">
      <c r="A18" s="521">
        <v>30</v>
      </c>
      <c r="B18" s="527" t="s">
        <v>81</v>
      </c>
      <c r="C18" s="522"/>
      <c r="D18" s="523">
        <v>0.65</v>
      </c>
      <c r="E18" s="522" t="s">
        <v>24</v>
      </c>
      <c r="F18" s="522">
        <v>1</v>
      </c>
      <c r="G18" s="526" t="s">
        <v>117</v>
      </c>
      <c r="H18" s="522">
        <v>0.5</v>
      </c>
      <c r="I18" s="516">
        <f>IF(H18="",D18*F18,D18*F18*H18)</f>
        <v>0.32500000000000001</v>
      </c>
      <c r="J18" s="470"/>
      <c r="K18" s="525"/>
      <c r="L18" s="525"/>
      <c r="M18" s="525"/>
      <c r="N18" s="525"/>
      <c r="O18" s="128"/>
    </row>
    <row r="19" spans="1:15" x14ac:dyDescent="0.25">
      <c r="A19" s="524">
        <v>40</v>
      </c>
      <c r="B19" s="522" t="s">
        <v>80</v>
      </c>
      <c r="C19" s="522" t="s">
        <v>255</v>
      </c>
      <c r="D19" s="523">
        <v>2.9000000000000001E-2</v>
      </c>
      <c r="E19" s="522" t="s">
        <v>79</v>
      </c>
      <c r="F19" s="522">
        <v>1</v>
      </c>
      <c r="G19" s="522" t="s">
        <v>95</v>
      </c>
      <c r="H19" s="522">
        <v>3</v>
      </c>
      <c r="I19" s="516">
        <f>IF(H19="",D19*F19,D19*F19*H19)</f>
        <v>8.7000000000000008E-2</v>
      </c>
      <c r="J19" s="465"/>
      <c r="K19" s="514"/>
      <c r="L19" s="514"/>
      <c r="M19" s="514"/>
      <c r="N19" s="514"/>
      <c r="O19" s="128"/>
    </row>
    <row r="20" spans="1:15" ht="30" x14ac:dyDescent="0.25">
      <c r="A20" s="521">
        <v>50</v>
      </c>
      <c r="B20" s="518" t="s">
        <v>74</v>
      </c>
      <c r="C20" s="477" t="s">
        <v>123</v>
      </c>
      <c r="D20" s="520">
        <v>5.25</v>
      </c>
      <c r="E20" s="518" t="s">
        <v>73</v>
      </c>
      <c r="F20" s="519">
        <f>2*J11</f>
        <v>2.2780000000000001E-3</v>
      </c>
      <c r="G20" s="518"/>
      <c r="H20" s="517"/>
      <c r="I20" s="516">
        <f>F20*D20</f>
        <v>1.19595E-2</v>
      </c>
      <c r="J20" s="264"/>
      <c r="K20" s="105"/>
      <c r="L20" s="105"/>
      <c r="M20" s="105"/>
      <c r="N20" s="105"/>
      <c r="O20" s="128"/>
    </row>
    <row r="21" spans="1:15" x14ac:dyDescent="0.25">
      <c r="A21" s="515"/>
      <c r="B21" s="514"/>
      <c r="C21" s="514"/>
      <c r="D21" s="514"/>
      <c r="E21" s="514"/>
      <c r="F21" s="514"/>
      <c r="G21" s="514"/>
      <c r="H21" s="513" t="s">
        <v>20</v>
      </c>
      <c r="I21" s="453">
        <f>SUM(I16:I20)</f>
        <v>1.1909594999999999</v>
      </c>
      <c r="J21" s="105"/>
      <c r="K21" s="105"/>
      <c r="L21" s="105"/>
      <c r="M21" s="105"/>
      <c r="N21" s="105"/>
      <c r="O21" s="128"/>
    </row>
    <row r="22" spans="1:15" ht="15.75" thickBot="1" x14ac:dyDescent="0.3">
      <c r="A22" s="138"/>
      <c r="B22" s="139"/>
      <c r="C22" s="139"/>
      <c r="D22" s="139"/>
      <c r="E22" s="139"/>
      <c r="F22" s="139"/>
      <c r="G22" s="139"/>
      <c r="H22" s="139"/>
      <c r="I22" s="139"/>
      <c r="J22" s="139"/>
      <c r="K22" s="139"/>
      <c r="L22" s="139"/>
      <c r="M22" s="139"/>
      <c r="N22" s="139"/>
      <c r="O22" s="140"/>
    </row>
  </sheetData>
  <hyperlinks>
    <hyperlink ref="B4" location="'SU A0100'!A1" display="'SU A0100'!A1"/>
    <hyperlink ref="F2" location="SU_A0100_BOM" display="Back to BOM"/>
    <hyperlink ref="E3" location="dSU_01010" display="Drawing"/>
  </hyperlinks>
  <pageMargins left="0.31496062992125984" right="0.31496062992125984" top="0.31496062992125984" bottom="0.39370078740157483" header="0.51181102362204722" footer="0.31496062992125984"/>
  <pageSetup paperSize="9" scale="82" fitToHeight="99" orientation="landscape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4"/>
  <sheetViews>
    <sheetView zoomScale="90" zoomScaleNormal="90" zoomScaleSheetLayoutView="8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45.5703125" style="103" customWidth="1"/>
    <col min="3" max="3" width="48.28515625" style="103" customWidth="1"/>
    <col min="4" max="4" width="9.140625" style="103"/>
    <col min="5" max="5" width="14.140625" style="103" customWidth="1"/>
    <col min="6" max="7" width="9.140625" style="103"/>
    <col min="8" max="8" width="9.42578125" style="103" customWidth="1"/>
    <col min="9" max="13" width="9.140625" style="103"/>
    <col min="14" max="14" width="13.7109375" style="103" customWidth="1"/>
    <col min="15" max="15" width="5.28515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06" t="s">
        <v>0</v>
      </c>
      <c r="B2" s="104" t="s">
        <v>1</v>
      </c>
      <c r="C2" s="105"/>
      <c r="D2" s="105"/>
      <c r="E2" s="58" t="s">
        <v>2</v>
      </c>
      <c r="F2" s="105"/>
      <c r="G2" s="105"/>
      <c r="H2" s="105"/>
      <c r="I2" s="105"/>
      <c r="J2" s="306" t="s">
        <v>3</v>
      </c>
      <c r="K2" s="106">
        <v>81</v>
      </c>
      <c r="L2" s="105"/>
      <c r="M2" s="306" t="s">
        <v>4</v>
      </c>
      <c r="N2" s="59">
        <f>SU_A0100_pa+SU_A0100_m+SU_A0100_p+SU_A0100_f</f>
        <v>80.823417669425169</v>
      </c>
      <c r="O2" s="107"/>
    </row>
    <row r="3" spans="1:15" ht="14.45" x14ac:dyDescent="0.3">
      <c r="A3" s="306" t="s">
        <v>5</v>
      </c>
      <c r="B3" s="104" t="s">
        <v>106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306" t="s">
        <v>6</v>
      </c>
      <c r="N3" s="47">
        <v>2</v>
      </c>
      <c r="O3" s="107"/>
    </row>
    <row r="4" spans="1:15" ht="14.45" x14ac:dyDescent="0.3">
      <c r="A4" s="306" t="s">
        <v>7</v>
      </c>
      <c r="B4" s="129" t="s">
        <v>220</v>
      </c>
      <c r="C4" s="105"/>
      <c r="D4" s="105"/>
      <c r="E4" s="105"/>
      <c r="F4" s="105"/>
      <c r="G4" s="105"/>
      <c r="H4" s="105"/>
      <c r="I4" s="105"/>
      <c r="J4" s="357" t="s">
        <v>8</v>
      </c>
      <c r="K4" s="105"/>
      <c r="L4" s="105"/>
      <c r="M4" s="105"/>
      <c r="N4" s="105"/>
      <c r="O4" s="107"/>
    </row>
    <row r="5" spans="1:15" ht="14.45" x14ac:dyDescent="0.3">
      <c r="A5" s="306" t="s">
        <v>9</v>
      </c>
      <c r="B5" s="108" t="s">
        <v>219</v>
      </c>
      <c r="C5" s="105"/>
      <c r="D5" s="105"/>
      <c r="E5" s="105"/>
      <c r="F5" s="105"/>
      <c r="G5" s="105"/>
      <c r="H5" s="105"/>
      <c r="I5" s="105"/>
      <c r="J5" s="357" t="s">
        <v>10</v>
      </c>
      <c r="K5" s="105"/>
      <c r="L5" s="105"/>
      <c r="M5" s="306" t="s">
        <v>11</v>
      </c>
      <c r="N5" s="46">
        <f>N2*N3</f>
        <v>161.64683533885034</v>
      </c>
      <c r="O5" s="107"/>
    </row>
    <row r="6" spans="1:15" ht="14.45" x14ac:dyDescent="0.3">
      <c r="A6" s="306" t="s">
        <v>12</v>
      </c>
      <c r="B6" s="104" t="s">
        <v>13</v>
      </c>
      <c r="C6" s="105"/>
      <c r="D6" s="105"/>
      <c r="E6" s="105"/>
      <c r="F6" s="105"/>
      <c r="G6" s="105"/>
      <c r="H6" s="105"/>
      <c r="I6" s="105"/>
      <c r="J6" s="357" t="s">
        <v>14</v>
      </c>
      <c r="K6" s="105"/>
      <c r="L6" s="105"/>
      <c r="M6" s="105"/>
      <c r="N6" s="105"/>
      <c r="O6" s="107"/>
    </row>
    <row r="7" spans="1:15" ht="14.45" x14ac:dyDescent="0.3">
      <c r="A7" s="306" t="s">
        <v>15</v>
      </c>
      <c r="B7" s="104"/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116"/>
      <c r="B8" s="105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306" t="s">
        <v>16</v>
      </c>
      <c r="B9" s="306" t="s">
        <v>17</v>
      </c>
      <c r="C9" s="306" t="s">
        <v>18</v>
      </c>
      <c r="D9" s="306" t="s">
        <v>19</v>
      </c>
      <c r="E9" s="306" t="s">
        <v>20</v>
      </c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134">
        <v>10</v>
      </c>
      <c r="B10" s="57" t="str">
        <f>'SU 01001'!B5</f>
        <v>Upper Front Bearing Support</v>
      </c>
      <c r="C10" s="46">
        <f>'SU 01001'!N2</f>
        <v>15.090551905600002</v>
      </c>
      <c r="D10" s="356">
        <f>SU_01001_q</f>
        <v>1</v>
      </c>
      <c r="E10" s="46">
        <f t="shared" ref="E10:E20" si="0">C10*D10</f>
        <v>15.090551905600002</v>
      </c>
      <c r="F10" s="105"/>
      <c r="G10" s="105"/>
      <c r="H10" s="105"/>
      <c r="I10" s="105"/>
      <c r="J10" s="105"/>
      <c r="K10" s="105"/>
      <c r="L10" s="105"/>
      <c r="M10" s="105"/>
      <c r="N10" s="105"/>
      <c r="O10" s="107"/>
    </row>
    <row r="11" spans="1:15" ht="14.45" x14ac:dyDescent="0.3">
      <c r="A11" s="134">
        <v>20</v>
      </c>
      <c r="B11" s="57" t="str">
        <f>'SU 01002'!B5</f>
        <v>Inner Bearing Support</v>
      </c>
      <c r="C11" s="46">
        <f>'SU 01002'!N2</f>
        <v>1.8728805440000003</v>
      </c>
      <c r="D11" s="134">
        <f>SU_01002_q</f>
        <v>2</v>
      </c>
      <c r="E11" s="46">
        <f t="shared" si="0"/>
        <v>3.7457610880000005</v>
      </c>
      <c r="F11" s="129"/>
      <c r="G11" s="129"/>
      <c r="H11" s="129"/>
      <c r="I11" s="129"/>
      <c r="J11" s="129"/>
      <c r="K11" s="129"/>
      <c r="L11" s="129"/>
      <c r="M11" s="129"/>
      <c r="N11" s="129"/>
      <c r="O11" s="107"/>
    </row>
    <row r="12" spans="1:15" ht="14.45" x14ac:dyDescent="0.3">
      <c r="A12" s="134">
        <v>30</v>
      </c>
      <c r="B12" s="57" t="str">
        <f>'SU 01003'!B5</f>
        <v>Upper Front A-arm tube (Front)  Carbon Fiber Tube</v>
      </c>
      <c r="C12" s="46">
        <f>'SU 01003'!N2</f>
        <v>8.8765790399999975</v>
      </c>
      <c r="D12" s="134">
        <f>SU_01003_q</f>
        <v>1</v>
      </c>
      <c r="E12" s="46">
        <f t="shared" si="0"/>
        <v>8.8765790399999975</v>
      </c>
      <c r="F12" s="129"/>
      <c r="G12" s="129"/>
      <c r="H12" s="129"/>
      <c r="I12" s="129"/>
      <c r="J12" s="129"/>
      <c r="K12" s="129"/>
      <c r="L12" s="129"/>
      <c r="M12" s="129"/>
      <c r="N12" s="129"/>
      <c r="O12" s="55"/>
    </row>
    <row r="13" spans="1:15" s="149" customFormat="1" ht="14.45" x14ac:dyDescent="0.3">
      <c r="A13" s="134">
        <v>40</v>
      </c>
      <c r="B13" s="57" t="str">
        <f>'SU 01004'!B5</f>
        <v>Upper Front A-arm tube (Back)  Carbon Fiber Tube</v>
      </c>
      <c r="C13" s="46">
        <f>'SU 01004'!N2</f>
        <v>7.1887787999999988</v>
      </c>
      <c r="D13" s="134">
        <f>SU_01004_q</f>
        <v>1</v>
      </c>
      <c r="E13" s="46">
        <f t="shared" si="0"/>
        <v>7.1887787999999988</v>
      </c>
      <c r="F13" s="129"/>
      <c r="G13" s="129"/>
      <c r="H13" s="129"/>
      <c r="I13" s="129"/>
      <c r="J13" s="129"/>
      <c r="K13" s="129"/>
      <c r="L13" s="129"/>
      <c r="M13" s="129"/>
      <c r="N13" s="129"/>
      <c r="O13" s="55"/>
    </row>
    <row r="14" spans="1:15" s="149" customFormat="1" ht="14.45" x14ac:dyDescent="0.3">
      <c r="A14" s="134">
        <v>50</v>
      </c>
      <c r="B14" s="57" t="str">
        <f>'SU 01005'!B5</f>
        <v>Spacer 1</v>
      </c>
      <c r="C14" s="46">
        <f>'SU 01005'!N2</f>
        <v>0.98904401600000003</v>
      </c>
      <c r="D14" s="103">
        <f>SU_01005_q</f>
        <v>2</v>
      </c>
      <c r="E14" s="46">
        <f t="shared" si="0"/>
        <v>1.9780880320000001</v>
      </c>
      <c r="F14" s="129"/>
      <c r="G14" s="129"/>
      <c r="H14" s="129"/>
      <c r="I14" s="129"/>
      <c r="J14" s="129"/>
      <c r="K14" s="129"/>
      <c r="L14" s="129"/>
      <c r="M14" s="129"/>
      <c r="N14" s="129"/>
      <c r="O14" s="148"/>
    </row>
    <row r="15" spans="1:15" s="149" customFormat="1" ht="14.45" x14ac:dyDescent="0.3">
      <c r="A15" s="134">
        <v>60</v>
      </c>
      <c r="B15" s="57" t="s">
        <v>218</v>
      </c>
      <c r="C15" s="355">
        <f>'SU 01006'!N2</f>
        <v>0.32421353411764708</v>
      </c>
      <c r="D15" s="354">
        <f>SU_01006_q</f>
        <v>4</v>
      </c>
      <c r="E15" s="46">
        <f t="shared" si="0"/>
        <v>1.2968541364705883</v>
      </c>
      <c r="F15" s="129"/>
      <c r="G15" s="129"/>
      <c r="H15" s="129"/>
      <c r="I15" s="129"/>
      <c r="J15" s="129"/>
      <c r="K15" s="129"/>
      <c r="L15" s="129"/>
      <c r="M15" s="129"/>
      <c r="N15" s="129"/>
      <c r="O15" s="148"/>
    </row>
    <row r="16" spans="1:15" s="149" customFormat="1" ht="14.45" x14ac:dyDescent="0.3">
      <c r="A16" s="236">
        <v>70</v>
      </c>
      <c r="B16" s="56" t="str">
        <f>'SU 01007'!B5</f>
        <v>Outboard A-arm Insert</v>
      </c>
      <c r="C16" s="353">
        <f>'SU 01007'!N2</f>
        <v>0.47719727680000001</v>
      </c>
      <c r="D16" s="350">
        <f>SU_01007_q</f>
        <v>2</v>
      </c>
      <c r="E16" s="72">
        <f t="shared" si="0"/>
        <v>0.95439455360000003</v>
      </c>
      <c r="F16" s="129"/>
      <c r="G16" s="129"/>
      <c r="H16" s="129"/>
      <c r="I16" s="129"/>
      <c r="J16" s="129"/>
      <c r="K16" s="129"/>
      <c r="L16" s="129"/>
      <c r="M16" s="129"/>
      <c r="N16" s="129"/>
      <c r="O16" s="148"/>
    </row>
    <row r="17" spans="1:15" s="149" customFormat="1" ht="14.45" x14ac:dyDescent="0.3">
      <c r="A17" s="134">
        <v>80</v>
      </c>
      <c r="B17" s="352" t="str">
        <f>'SU 01008'!B5</f>
        <v>Front up bracket</v>
      </c>
      <c r="C17" s="353">
        <f>'SU 01008'!N2</f>
        <v>1.3930602499999998</v>
      </c>
      <c r="D17" s="350">
        <f>SU_01008_q</f>
        <v>1</v>
      </c>
      <c r="E17" s="72">
        <f t="shared" si="0"/>
        <v>1.3930602499999998</v>
      </c>
      <c r="F17" s="129"/>
      <c r="G17" s="129"/>
      <c r="H17" s="129"/>
      <c r="I17" s="129"/>
      <c r="J17" s="129"/>
      <c r="K17" s="129"/>
      <c r="L17" s="129"/>
      <c r="M17" s="129"/>
      <c r="N17" s="129"/>
      <c r="O17" s="148"/>
    </row>
    <row r="18" spans="1:15" s="149" customFormat="1" ht="14.45" x14ac:dyDescent="0.3">
      <c r="A18" s="134">
        <v>90</v>
      </c>
      <c r="B18" s="352" t="str">
        <f>'SU 01009'!B5</f>
        <v>Front down bracket</v>
      </c>
      <c r="C18" s="353">
        <f>'SU 01009'!N2</f>
        <v>1.3590899374999998</v>
      </c>
      <c r="D18" s="350">
        <f>SU_01009_q</f>
        <v>1</v>
      </c>
      <c r="E18" s="72">
        <f t="shared" si="0"/>
        <v>1.3590899374999998</v>
      </c>
      <c r="F18" s="129"/>
      <c r="G18" s="129"/>
      <c r="H18" s="129"/>
      <c r="I18" s="129"/>
      <c r="J18" s="129"/>
      <c r="K18" s="129"/>
      <c r="L18" s="129"/>
      <c r="M18" s="129"/>
      <c r="N18" s="129"/>
      <c r="O18" s="148"/>
    </row>
    <row r="19" spans="1:15" s="149" customFormat="1" ht="14.45" x14ac:dyDescent="0.3">
      <c r="A19" s="236">
        <v>100</v>
      </c>
      <c r="B19" s="352" t="str">
        <f>'SU 01010'!B5</f>
        <v>Rear up bracket</v>
      </c>
      <c r="C19" s="353">
        <f>'SU 01010'!N2</f>
        <v>1.3143274375</v>
      </c>
      <c r="D19" s="350">
        <f>SU_01010_q</f>
        <v>1</v>
      </c>
      <c r="E19" s="72">
        <f t="shared" si="0"/>
        <v>1.3143274375</v>
      </c>
      <c r="F19" s="129"/>
      <c r="G19" s="129"/>
      <c r="H19" s="129"/>
      <c r="I19" s="129"/>
      <c r="J19" s="129"/>
      <c r="K19" s="129"/>
      <c r="L19" s="129"/>
      <c r="M19" s="129"/>
      <c r="N19" s="129"/>
      <c r="O19" s="148"/>
    </row>
    <row r="20" spans="1:15" s="149" customFormat="1" ht="14.45" x14ac:dyDescent="0.3">
      <c r="A20" s="134">
        <v>110</v>
      </c>
      <c r="B20" s="352" t="str">
        <f>'SU 01011'!B5</f>
        <v>Rear down bracket</v>
      </c>
      <c r="C20" s="351">
        <f>'SU 01011'!N2</f>
        <v>0.37972487499999996</v>
      </c>
      <c r="D20" s="350">
        <f>SU_01011_q</f>
        <v>1</v>
      </c>
      <c r="E20" s="72">
        <f t="shared" si="0"/>
        <v>0.37972487499999996</v>
      </c>
      <c r="F20" s="129"/>
      <c r="G20" s="129"/>
      <c r="H20" s="129"/>
      <c r="I20" s="129"/>
      <c r="J20" s="129"/>
      <c r="K20" s="129"/>
      <c r="L20" s="129"/>
      <c r="M20" s="129"/>
      <c r="N20" s="129"/>
      <c r="O20" s="148"/>
    </row>
    <row r="21" spans="1:15" ht="14.45" x14ac:dyDescent="0.3">
      <c r="A21" s="116"/>
      <c r="B21" s="105"/>
      <c r="C21" s="105"/>
      <c r="D21" s="349" t="s">
        <v>20</v>
      </c>
      <c r="E21" s="348">
        <f>SUM(E10:E20)</f>
        <v>43.577210055670584</v>
      </c>
      <c r="F21" s="129"/>
      <c r="G21" s="129"/>
      <c r="H21" s="129"/>
      <c r="I21" s="129"/>
      <c r="J21" s="129"/>
      <c r="K21" s="129"/>
      <c r="L21" s="129"/>
      <c r="M21" s="129"/>
      <c r="N21" s="129"/>
      <c r="O21" s="107"/>
    </row>
    <row r="22" spans="1:15" ht="14.45" x14ac:dyDescent="0.3">
      <c r="A22" s="116"/>
      <c r="B22" s="105"/>
      <c r="C22" s="105"/>
      <c r="D22" s="105"/>
      <c r="E22" s="105"/>
      <c r="F22" s="105"/>
      <c r="G22" s="105"/>
      <c r="H22" s="105"/>
      <c r="I22" s="105"/>
      <c r="J22" s="105"/>
      <c r="K22" s="105"/>
      <c r="L22" s="105"/>
      <c r="M22" s="105"/>
      <c r="N22" s="105"/>
      <c r="O22" s="107"/>
    </row>
    <row r="23" spans="1:15" ht="14.45" x14ac:dyDescent="0.3">
      <c r="A23" s="306" t="s">
        <v>16</v>
      </c>
      <c r="B23" s="306" t="s">
        <v>38</v>
      </c>
      <c r="C23" s="306" t="s">
        <v>22</v>
      </c>
      <c r="D23" s="306" t="s">
        <v>23</v>
      </c>
      <c r="E23" s="306" t="s">
        <v>31</v>
      </c>
      <c r="F23" s="306" t="s">
        <v>32</v>
      </c>
      <c r="G23" s="306" t="s">
        <v>33</v>
      </c>
      <c r="H23" s="306" t="s">
        <v>34</v>
      </c>
      <c r="I23" s="306" t="s">
        <v>39</v>
      </c>
      <c r="J23" s="306" t="s">
        <v>40</v>
      </c>
      <c r="K23" s="306" t="s">
        <v>41</v>
      </c>
      <c r="L23" s="306" t="s">
        <v>42</v>
      </c>
      <c r="M23" s="306" t="s">
        <v>19</v>
      </c>
      <c r="N23" s="306" t="s">
        <v>20</v>
      </c>
      <c r="O23" s="107"/>
    </row>
    <row r="24" spans="1:15" ht="14.45" customHeight="1" x14ac:dyDescent="0.3">
      <c r="A24" s="134">
        <v>10</v>
      </c>
      <c r="B24" s="134" t="s">
        <v>217</v>
      </c>
      <c r="C24" s="134"/>
      <c r="D24" s="347">
        <f>0.03*E24^2+5</f>
        <v>6.92</v>
      </c>
      <c r="E24" s="134">
        <v>8</v>
      </c>
      <c r="F24" s="134" t="s">
        <v>35</v>
      </c>
      <c r="G24" s="134"/>
      <c r="H24" s="53"/>
      <c r="I24" s="143"/>
      <c r="J24" s="54"/>
      <c r="K24" s="53"/>
      <c r="L24" s="53"/>
      <c r="M24" s="66">
        <v>3</v>
      </c>
      <c r="N24" s="46">
        <f>M24*D24</f>
        <v>20.759999999999998</v>
      </c>
      <c r="O24" s="107"/>
    </row>
    <row r="25" spans="1:15" s="113" customFormat="1" ht="14.45" customHeight="1" x14ac:dyDescent="0.25">
      <c r="A25" s="236">
        <v>20</v>
      </c>
      <c r="B25" s="346" t="s">
        <v>44</v>
      </c>
      <c r="C25" s="345" t="s">
        <v>216</v>
      </c>
      <c r="D25" s="50"/>
      <c r="E25" s="144"/>
      <c r="F25" s="144">
        <v>95</v>
      </c>
      <c r="G25" s="144"/>
      <c r="H25" s="61"/>
      <c r="I25" s="344"/>
      <c r="J25" s="343"/>
      <c r="K25" s="342"/>
      <c r="L25" s="341"/>
      <c r="M25" s="62"/>
      <c r="N25" s="50">
        <f>M25*D25</f>
        <v>0</v>
      </c>
      <c r="O25" s="112"/>
    </row>
    <row r="26" spans="1:15" ht="31.9" customHeight="1" x14ac:dyDescent="0.25">
      <c r="A26" s="339">
        <v>30</v>
      </c>
      <c r="B26" s="312" t="s">
        <v>44</v>
      </c>
      <c r="C26" s="340" t="s">
        <v>215</v>
      </c>
      <c r="D26" s="167"/>
      <c r="E26" s="339"/>
      <c r="F26" s="339"/>
      <c r="G26" s="339"/>
      <c r="H26" s="168"/>
      <c r="I26" s="175"/>
      <c r="J26" s="338"/>
      <c r="K26" s="168"/>
      <c r="L26" s="337"/>
      <c r="M26" s="168"/>
      <c r="N26" s="167">
        <f>M26*D26</f>
        <v>0</v>
      </c>
      <c r="O26" s="107"/>
    </row>
    <row r="27" spans="1:15" ht="15.6" customHeight="1" x14ac:dyDescent="0.25">
      <c r="A27" s="114"/>
      <c r="B27" s="115"/>
      <c r="C27" s="115"/>
      <c r="D27" s="115"/>
      <c r="E27" s="115"/>
      <c r="F27" s="115"/>
      <c r="G27" s="115"/>
      <c r="H27" s="115"/>
      <c r="I27" s="115"/>
      <c r="J27" s="115"/>
      <c r="K27" s="115"/>
      <c r="L27" s="115"/>
      <c r="M27" s="336" t="s">
        <v>20</v>
      </c>
      <c r="N27" s="335">
        <f>SUM(N24:N26)</f>
        <v>20.759999999999998</v>
      </c>
      <c r="O27" s="107"/>
    </row>
    <row r="28" spans="1:15" x14ac:dyDescent="0.25">
      <c r="A28" s="116"/>
      <c r="B28" s="105"/>
      <c r="C28" s="105"/>
      <c r="D28" s="105"/>
      <c r="E28" s="105"/>
      <c r="F28" s="105"/>
      <c r="G28" s="105"/>
      <c r="H28" s="105"/>
      <c r="I28" s="105"/>
      <c r="J28" s="105"/>
      <c r="K28" s="105"/>
      <c r="L28" s="105"/>
      <c r="M28" s="105"/>
      <c r="N28" s="105"/>
      <c r="O28" s="107"/>
    </row>
    <row r="29" spans="1:15" s="124" customFormat="1" x14ac:dyDescent="0.25">
      <c r="A29" s="306" t="s">
        <v>16</v>
      </c>
      <c r="B29" s="306" t="s">
        <v>21</v>
      </c>
      <c r="C29" s="306" t="s">
        <v>22</v>
      </c>
      <c r="D29" s="306" t="s">
        <v>23</v>
      </c>
      <c r="E29" s="306" t="s">
        <v>24</v>
      </c>
      <c r="F29" s="306" t="s">
        <v>19</v>
      </c>
      <c r="G29" s="306" t="s">
        <v>25</v>
      </c>
      <c r="H29" s="306" t="s">
        <v>26</v>
      </c>
      <c r="I29" s="306" t="s">
        <v>20</v>
      </c>
      <c r="J29" s="115"/>
      <c r="K29" s="115"/>
      <c r="L29" s="115"/>
      <c r="M29" s="115"/>
      <c r="N29" s="115"/>
      <c r="O29" s="123"/>
    </row>
    <row r="30" spans="1:15" s="298" customFormat="1" x14ac:dyDescent="0.25">
      <c r="A30" s="305">
        <v>10</v>
      </c>
      <c r="B30" s="177" t="s">
        <v>131</v>
      </c>
      <c r="C30" s="326" t="s">
        <v>214</v>
      </c>
      <c r="D30" s="185">
        <v>0.02</v>
      </c>
      <c r="E30" s="305" t="s">
        <v>133</v>
      </c>
      <c r="F30" s="323">
        <v>8.66</v>
      </c>
      <c r="G30" s="323" t="s">
        <v>204</v>
      </c>
      <c r="H30" s="323">
        <v>2</v>
      </c>
      <c r="I30" s="185">
        <f t="shared" ref="I30:I51" si="1">IF(H30="",D30*F30,D30*F30*H30)</f>
        <v>0.34639999999999999</v>
      </c>
      <c r="J30" s="301"/>
      <c r="K30" s="301"/>
      <c r="L30" s="301"/>
      <c r="M30" s="301"/>
      <c r="N30" s="301"/>
      <c r="O30" s="325"/>
    </row>
    <row r="31" spans="1:15" s="298" customFormat="1" x14ac:dyDescent="0.25">
      <c r="A31" s="305">
        <v>20</v>
      </c>
      <c r="B31" s="177" t="s">
        <v>113</v>
      </c>
      <c r="C31" s="326" t="s">
        <v>213</v>
      </c>
      <c r="D31" s="185">
        <v>0.02</v>
      </c>
      <c r="E31" s="305" t="s">
        <v>133</v>
      </c>
      <c r="F31" s="323">
        <v>8.66</v>
      </c>
      <c r="G31" s="323" t="s">
        <v>204</v>
      </c>
      <c r="H31" s="323">
        <v>2</v>
      </c>
      <c r="I31" s="185">
        <f t="shared" si="1"/>
        <v>0.34639999999999999</v>
      </c>
      <c r="J31" s="300"/>
      <c r="K31" s="300"/>
      <c r="L31" s="300"/>
      <c r="M31" s="300"/>
      <c r="N31" s="300"/>
      <c r="O31" s="299"/>
    </row>
    <row r="32" spans="1:15" s="298" customFormat="1" x14ac:dyDescent="0.25">
      <c r="A32" s="305">
        <v>30</v>
      </c>
      <c r="B32" s="177" t="s">
        <v>131</v>
      </c>
      <c r="C32" s="326" t="s">
        <v>212</v>
      </c>
      <c r="D32" s="185">
        <v>0.02</v>
      </c>
      <c r="E32" s="305" t="s">
        <v>133</v>
      </c>
      <c r="F32" s="323">
        <v>8.66</v>
      </c>
      <c r="G32" s="323" t="s">
        <v>204</v>
      </c>
      <c r="H32" s="323">
        <v>2</v>
      </c>
      <c r="I32" s="185">
        <f t="shared" si="1"/>
        <v>0.34639999999999999</v>
      </c>
      <c r="J32" s="301"/>
      <c r="K32" s="301"/>
      <c r="L32" s="301"/>
      <c r="M32" s="301"/>
      <c r="N32" s="301"/>
      <c r="O32" s="325"/>
    </row>
    <row r="33" spans="1:15" s="328" customFormat="1" x14ac:dyDescent="0.25">
      <c r="A33" s="334">
        <v>40</v>
      </c>
      <c r="B33" s="332" t="s">
        <v>197</v>
      </c>
      <c r="C33" s="333" t="s">
        <v>211</v>
      </c>
      <c r="D33" s="249">
        <v>0.06</v>
      </c>
      <c r="E33" s="332" t="s">
        <v>24</v>
      </c>
      <c r="F33" s="331">
        <v>1</v>
      </c>
      <c r="G33" s="331" t="s">
        <v>204</v>
      </c>
      <c r="H33" s="331">
        <v>2</v>
      </c>
      <c r="I33" s="249">
        <f t="shared" si="1"/>
        <v>0.12</v>
      </c>
      <c r="J33" s="330"/>
      <c r="K33" s="330"/>
      <c r="L33" s="330"/>
      <c r="M33" s="330"/>
      <c r="N33" s="330"/>
      <c r="O33" s="329"/>
    </row>
    <row r="34" spans="1:15" s="298" customFormat="1" x14ac:dyDescent="0.25">
      <c r="A34" s="305">
        <v>50</v>
      </c>
      <c r="B34" s="177" t="s">
        <v>131</v>
      </c>
      <c r="C34" s="326" t="s">
        <v>210</v>
      </c>
      <c r="D34" s="185">
        <v>0.02</v>
      </c>
      <c r="E34" s="305" t="s">
        <v>133</v>
      </c>
      <c r="F34" s="323">
        <v>12.43</v>
      </c>
      <c r="G34" s="323" t="s">
        <v>204</v>
      </c>
      <c r="H34" s="323">
        <v>2</v>
      </c>
      <c r="I34" s="185">
        <f t="shared" si="1"/>
        <v>0.49719999999999998</v>
      </c>
      <c r="J34" s="301"/>
      <c r="K34" s="301"/>
      <c r="L34" s="301"/>
      <c r="M34" s="301"/>
      <c r="N34" s="301"/>
      <c r="O34" s="325"/>
    </row>
    <row r="35" spans="1:15" s="298" customFormat="1" x14ac:dyDescent="0.25">
      <c r="A35" s="305">
        <v>60</v>
      </c>
      <c r="B35" s="177" t="s">
        <v>113</v>
      </c>
      <c r="C35" s="326" t="s">
        <v>209</v>
      </c>
      <c r="D35" s="185">
        <v>0.02</v>
      </c>
      <c r="E35" s="305" t="s">
        <v>133</v>
      </c>
      <c r="F35" s="323">
        <v>12.43</v>
      </c>
      <c r="G35" s="323" t="s">
        <v>204</v>
      </c>
      <c r="H35" s="323">
        <v>2</v>
      </c>
      <c r="I35" s="185">
        <f t="shared" si="1"/>
        <v>0.49719999999999998</v>
      </c>
      <c r="J35" s="300"/>
      <c r="K35" s="300"/>
      <c r="L35" s="300"/>
      <c r="M35" s="300"/>
      <c r="N35" s="300"/>
      <c r="O35" s="299"/>
    </row>
    <row r="36" spans="1:15" s="298" customFormat="1" x14ac:dyDescent="0.25">
      <c r="A36" s="305">
        <v>70</v>
      </c>
      <c r="B36" s="177" t="s">
        <v>131</v>
      </c>
      <c r="C36" s="326" t="s">
        <v>132</v>
      </c>
      <c r="D36" s="185">
        <v>0.02</v>
      </c>
      <c r="E36" s="305" t="s">
        <v>133</v>
      </c>
      <c r="F36" s="323">
        <v>12.43</v>
      </c>
      <c r="G36" s="323" t="s">
        <v>204</v>
      </c>
      <c r="H36" s="323">
        <v>2</v>
      </c>
      <c r="I36" s="185">
        <f t="shared" si="1"/>
        <v>0.49719999999999998</v>
      </c>
      <c r="J36" s="301"/>
      <c r="K36" s="301"/>
      <c r="L36" s="301"/>
      <c r="M36" s="301"/>
      <c r="N36" s="301"/>
      <c r="O36" s="325"/>
    </row>
    <row r="37" spans="1:15" s="298" customFormat="1" x14ac:dyDescent="0.25">
      <c r="A37" s="305">
        <v>80</v>
      </c>
      <c r="B37" s="177" t="s">
        <v>197</v>
      </c>
      <c r="C37" s="324" t="s">
        <v>208</v>
      </c>
      <c r="D37" s="185">
        <v>0.14000000000000001</v>
      </c>
      <c r="E37" s="177" t="s">
        <v>24</v>
      </c>
      <c r="F37" s="323">
        <v>1</v>
      </c>
      <c r="G37" s="323" t="s">
        <v>204</v>
      </c>
      <c r="H37" s="323">
        <v>2</v>
      </c>
      <c r="I37" s="185">
        <f t="shared" si="1"/>
        <v>0.28000000000000003</v>
      </c>
      <c r="J37" s="321"/>
      <c r="K37" s="321"/>
      <c r="L37" s="321"/>
      <c r="M37" s="321"/>
      <c r="N37" s="321"/>
      <c r="O37" s="320"/>
    </row>
    <row r="38" spans="1:15" s="298" customFormat="1" x14ac:dyDescent="0.25">
      <c r="A38" s="305">
        <v>90</v>
      </c>
      <c r="B38" s="177" t="s">
        <v>131</v>
      </c>
      <c r="C38" s="326" t="s">
        <v>207</v>
      </c>
      <c r="D38" s="185">
        <v>0.02</v>
      </c>
      <c r="E38" s="305" t="s">
        <v>133</v>
      </c>
      <c r="F38" s="323">
        <v>12.43</v>
      </c>
      <c r="G38" s="323" t="s">
        <v>204</v>
      </c>
      <c r="H38" s="323">
        <v>2</v>
      </c>
      <c r="I38" s="185">
        <f t="shared" si="1"/>
        <v>0.49719999999999998</v>
      </c>
      <c r="J38" s="301"/>
      <c r="K38" s="301"/>
      <c r="L38" s="301"/>
      <c r="M38" s="301"/>
      <c r="N38" s="301"/>
      <c r="O38" s="325"/>
    </row>
    <row r="39" spans="1:15" s="298" customFormat="1" x14ac:dyDescent="0.25">
      <c r="A39" s="305">
        <v>100</v>
      </c>
      <c r="B39" s="177" t="s">
        <v>113</v>
      </c>
      <c r="C39" s="326" t="s">
        <v>206</v>
      </c>
      <c r="D39" s="185">
        <v>0.18</v>
      </c>
      <c r="E39" s="305" t="s">
        <v>133</v>
      </c>
      <c r="F39" s="323">
        <v>12.43</v>
      </c>
      <c r="G39" s="323" t="s">
        <v>204</v>
      </c>
      <c r="H39" s="323">
        <v>2</v>
      </c>
      <c r="I39" s="185">
        <f t="shared" si="1"/>
        <v>4.4748000000000001</v>
      </c>
      <c r="J39" s="321"/>
      <c r="K39" s="321"/>
      <c r="L39" s="321"/>
      <c r="M39" s="321"/>
      <c r="N39" s="321"/>
      <c r="O39" s="325"/>
    </row>
    <row r="40" spans="1:15" s="298" customFormat="1" x14ac:dyDescent="0.25">
      <c r="A40" s="305">
        <v>110</v>
      </c>
      <c r="B40" s="177" t="s">
        <v>131</v>
      </c>
      <c r="C40" s="326" t="s">
        <v>132</v>
      </c>
      <c r="D40" s="185">
        <v>0.02</v>
      </c>
      <c r="E40" s="305" t="s">
        <v>133</v>
      </c>
      <c r="F40" s="323">
        <v>12.43</v>
      </c>
      <c r="G40" s="323" t="s">
        <v>204</v>
      </c>
      <c r="H40" s="323">
        <v>2</v>
      </c>
      <c r="I40" s="185">
        <f t="shared" si="1"/>
        <v>0.49719999999999998</v>
      </c>
      <c r="J40" s="301"/>
      <c r="K40" s="301"/>
      <c r="L40" s="301"/>
      <c r="M40" s="301"/>
      <c r="N40" s="301"/>
      <c r="O40" s="325"/>
    </row>
    <row r="41" spans="1:15" s="298" customFormat="1" ht="30" x14ac:dyDescent="0.25">
      <c r="A41" s="305">
        <v>120</v>
      </c>
      <c r="B41" s="177" t="s">
        <v>197</v>
      </c>
      <c r="C41" s="324" t="s">
        <v>205</v>
      </c>
      <c r="D41" s="185">
        <v>0.22</v>
      </c>
      <c r="E41" s="177" t="s">
        <v>24</v>
      </c>
      <c r="F41" s="323">
        <v>1</v>
      </c>
      <c r="G41" s="323" t="s">
        <v>204</v>
      </c>
      <c r="H41" s="323">
        <v>2</v>
      </c>
      <c r="I41" s="185">
        <f t="shared" si="1"/>
        <v>0.44</v>
      </c>
      <c r="J41" s="321"/>
      <c r="K41" s="321"/>
      <c r="L41" s="321"/>
      <c r="M41" s="321"/>
      <c r="N41" s="321"/>
      <c r="O41" s="325"/>
    </row>
    <row r="42" spans="1:15" s="298" customFormat="1" x14ac:dyDescent="0.25">
      <c r="A42" s="305">
        <v>130</v>
      </c>
      <c r="B42" s="177" t="s">
        <v>131</v>
      </c>
      <c r="C42" s="326" t="s">
        <v>203</v>
      </c>
      <c r="D42" s="185">
        <v>0.02</v>
      </c>
      <c r="E42" s="305" t="s">
        <v>133</v>
      </c>
      <c r="F42" s="323">
        <v>4.01</v>
      </c>
      <c r="G42" s="323" t="s">
        <v>200</v>
      </c>
      <c r="H42" s="323">
        <v>3</v>
      </c>
      <c r="I42" s="185">
        <f t="shared" si="1"/>
        <v>0.24059999999999998</v>
      </c>
      <c r="J42" s="301"/>
      <c r="K42" s="301"/>
      <c r="L42" s="301"/>
      <c r="M42" s="301"/>
      <c r="N42" s="301"/>
      <c r="O42" s="325"/>
    </row>
    <row r="43" spans="1:15" s="298" customFormat="1" x14ac:dyDescent="0.25">
      <c r="A43" s="305">
        <v>140</v>
      </c>
      <c r="B43" s="263" t="s">
        <v>113</v>
      </c>
      <c r="C43" s="326" t="s">
        <v>202</v>
      </c>
      <c r="D43" s="185">
        <v>0.02</v>
      </c>
      <c r="E43" s="305" t="s">
        <v>133</v>
      </c>
      <c r="F43" s="323">
        <v>4.01</v>
      </c>
      <c r="G43" s="323" t="s">
        <v>200</v>
      </c>
      <c r="H43" s="323">
        <v>3</v>
      </c>
      <c r="I43" s="185">
        <f t="shared" si="1"/>
        <v>0.24059999999999998</v>
      </c>
      <c r="J43" s="321"/>
      <c r="K43" s="321"/>
      <c r="L43" s="321"/>
      <c r="M43" s="321"/>
      <c r="N43" s="321"/>
      <c r="O43" s="325"/>
    </row>
    <row r="44" spans="1:15" s="298" customFormat="1" x14ac:dyDescent="0.25">
      <c r="A44" s="305">
        <v>150</v>
      </c>
      <c r="B44" s="177" t="s">
        <v>197</v>
      </c>
      <c r="C44" s="326" t="s">
        <v>201</v>
      </c>
      <c r="D44" s="185">
        <v>0.3</v>
      </c>
      <c r="E44" s="177" t="s">
        <v>24</v>
      </c>
      <c r="F44" s="323">
        <v>1</v>
      </c>
      <c r="G44" s="323" t="s">
        <v>200</v>
      </c>
      <c r="H44" s="323">
        <v>3</v>
      </c>
      <c r="I44" s="185">
        <f t="shared" si="1"/>
        <v>0.89999999999999991</v>
      </c>
      <c r="J44" s="321"/>
      <c r="K44" s="321"/>
      <c r="L44" s="321"/>
      <c r="M44" s="321"/>
      <c r="N44" s="321"/>
      <c r="O44" s="325"/>
    </row>
    <row r="45" spans="1:15" s="298" customFormat="1" x14ac:dyDescent="0.25">
      <c r="A45" s="305">
        <v>160</v>
      </c>
      <c r="B45" s="305" t="s">
        <v>86</v>
      </c>
      <c r="C45" s="326" t="s">
        <v>199</v>
      </c>
      <c r="D45" s="185">
        <v>0.15</v>
      </c>
      <c r="E45" s="305" t="s">
        <v>133</v>
      </c>
      <c r="F45" s="323">
        <v>22</v>
      </c>
      <c r="G45" s="323"/>
      <c r="H45" s="322"/>
      <c r="I45" s="185">
        <f t="shared" si="1"/>
        <v>3.3</v>
      </c>
      <c r="J45" s="321"/>
      <c r="K45" s="321"/>
      <c r="L45" s="321"/>
      <c r="M45" s="321"/>
      <c r="N45" s="321"/>
      <c r="O45" s="325"/>
    </row>
    <row r="46" spans="1:15" s="298" customFormat="1" x14ac:dyDescent="0.25">
      <c r="A46" s="305">
        <v>170</v>
      </c>
      <c r="B46" s="177" t="s">
        <v>74</v>
      </c>
      <c r="C46" s="324" t="s">
        <v>198</v>
      </c>
      <c r="D46" s="185">
        <v>5.25</v>
      </c>
      <c r="E46" s="177" t="s">
        <v>156</v>
      </c>
      <c r="F46" s="323">
        <v>0.01</v>
      </c>
      <c r="G46" s="323"/>
      <c r="H46" s="322"/>
      <c r="I46" s="185">
        <f t="shared" si="1"/>
        <v>5.2499999999999998E-2</v>
      </c>
      <c r="J46" s="321"/>
      <c r="K46" s="321"/>
      <c r="L46" s="321"/>
      <c r="M46" s="327"/>
      <c r="N46" s="321"/>
      <c r="O46" s="325"/>
    </row>
    <row r="47" spans="1:15" s="298" customFormat="1" x14ac:dyDescent="0.25">
      <c r="A47" s="305">
        <v>180</v>
      </c>
      <c r="B47" s="305" t="s">
        <v>197</v>
      </c>
      <c r="C47" s="326" t="s">
        <v>196</v>
      </c>
      <c r="D47" s="185">
        <v>0.14000000000000001</v>
      </c>
      <c r="E47" s="305" t="s">
        <v>24</v>
      </c>
      <c r="F47" s="323">
        <v>1</v>
      </c>
      <c r="G47" s="323"/>
      <c r="H47" s="322"/>
      <c r="I47" s="185">
        <f t="shared" si="1"/>
        <v>0.14000000000000001</v>
      </c>
      <c r="J47" s="321"/>
      <c r="K47" s="321"/>
      <c r="L47" s="321"/>
      <c r="M47" s="321"/>
      <c r="N47" s="321"/>
      <c r="O47" s="325"/>
    </row>
    <row r="48" spans="1:15" s="298" customFormat="1" x14ac:dyDescent="0.25">
      <c r="A48" s="305">
        <v>190</v>
      </c>
      <c r="B48" s="177" t="s">
        <v>194</v>
      </c>
      <c r="C48" s="324" t="s">
        <v>195</v>
      </c>
      <c r="D48" s="185">
        <v>0.13</v>
      </c>
      <c r="E48" s="177" t="s">
        <v>24</v>
      </c>
      <c r="F48" s="323">
        <v>4</v>
      </c>
      <c r="G48" s="323"/>
      <c r="H48" s="322"/>
      <c r="I48" s="185">
        <f t="shared" si="1"/>
        <v>0.52</v>
      </c>
      <c r="J48" s="321"/>
      <c r="K48" s="321"/>
      <c r="L48" s="321"/>
      <c r="M48" s="321"/>
      <c r="N48" s="321"/>
      <c r="O48" s="325"/>
    </row>
    <row r="49" spans="1:15" s="298" customFormat="1" x14ac:dyDescent="0.25">
      <c r="A49" s="305">
        <v>200</v>
      </c>
      <c r="B49" s="177" t="s">
        <v>194</v>
      </c>
      <c r="C49" s="324" t="s">
        <v>193</v>
      </c>
      <c r="D49" s="185">
        <v>0.13</v>
      </c>
      <c r="E49" s="177" t="s">
        <v>24</v>
      </c>
      <c r="F49" s="323">
        <v>8</v>
      </c>
      <c r="G49" s="323"/>
      <c r="H49" s="322"/>
      <c r="I49" s="185">
        <f t="shared" si="1"/>
        <v>1.04</v>
      </c>
      <c r="J49" s="321"/>
      <c r="K49" s="321"/>
      <c r="L49" s="321"/>
      <c r="M49" s="321"/>
      <c r="N49" s="321"/>
      <c r="O49" s="325"/>
    </row>
    <row r="50" spans="1:15" s="298" customFormat="1" x14ac:dyDescent="0.25">
      <c r="A50" s="305">
        <v>210</v>
      </c>
      <c r="B50" s="305" t="s">
        <v>159</v>
      </c>
      <c r="C50" s="326" t="s">
        <v>192</v>
      </c>
      <c r="D50" s="185">
        <v>0.13</v>
      </c>
      <c r="E50" s="305" t="s">
        <v>24</v>
      </c>
      <c r="F50" s="323">
        <v>2</v>
      </c>
      <c r="G50" s="323"/>
      <c r="H50" s="322"/>
      <c r="I50" s="185">
        <f t="shared" si="1"/>
        <v>0.26</v>
      </c>
      <c r="J50" s="321"/>
      <c r="K50" s="321"/>
      <c r="L50" s="321"/>
      <c r="M50" s="321"/>
      <c r="N50" s="321"/>
      <c r="O50" s="325"/>
    </row>
    <row r="51" spans="1:15" s="298" customFormat="1" x14ac:dyDescent="0.25">
      <c r="A51" s="305">
        <v>220</v>
      </c>
      <c r="B51" s="177" t="s">
        <v>191</v>
      </c>
      <c r="C51" s="324" t="s">
        <v>190</v>
      </c>
      <c r="D51" s="185">
        <v>0.25</v>
      </c>
      <c r="E51" s="177" t="s">
        <v>24</v>
      </c>
      <c r="F51" s="323">
        <v>2</v>
      </c>
      <c r="G51" s="323"/>
      <c r="H51" s="322"/>
      <c r="I51" s="185">
        <f t="shared" si="1"/>
        <v>0.5</v>
      </c>
      <c r="J51" s="321"/>
      <c r="K51" s="321"/>
      <c r="L51" s="321"/>
      <c r="M51" s="321"/>
      <c r="N51" s="321"/>
      <c r="O51" s="320"/>
    </row>
    <row r="52" spans="1:15" x14ac:dyDescent="0.25">
      <c r="A52" s="114"/>
      <c r="B52" s="115"/>
      <c r="C52" s="115"/>
      <c r="D52" s="115"/>
      <c r="E52" s="115"/>
      <c r="F52" s="115"/>
      <c r="G52" s="115"/>
      <c r="H52" s="319" t="s">
        <v>20</v>
      </c>
      <c r="I52" s="318">
        <f>SUM(I30:I51)</f>
        <v>16.033700000000003</v>
      </c>
      <c r="J52" s="105"/>
      <c r="K52" s="105"/>
      <c r="L52" s="105"/>
      <c r="M52" s="105"/>
      <c r="N52" s="105"/>
      <c r="O52" s="107"/>
    </row>
    <row r="53" spans="1:15" x14ac:dyDescent="0.25">
      <c r="A53" s="116"/>
      <c r="B53" s="105"/>
      <c r="C53" s="105"/>
      <c r="D53" s="105"/>
      <c r="E53" s="105"/>
      <c r="F53" s="105"/>
      <c r="G53" s="105"/>
      <c r="H53" s="105"/>
      <c r="I53" s="105"/>
      <c r="J53" s="105"/>
      <c r="K53" s="105"/>
      <c r="L53" s="105"/>
      <c r="M53" s="105"/>
      <c r="N53" s="105"/>
      <c r="O53" s="107"/>
    </row>
    <row r="54" spans="1:15" x14ac:dyDescent="0.25">
      <c r="A54" s="317" t="s">
        <v>16</v>
      </c>
      <c r="B54" s="317" t="s">
        <v>30</v>
      </c>
      <c r="C54" s="317" t="s">
        <v>22</v>
      </c>
      <c r="D54" s="317" t="s">
        <v>23</v>
      </c>
      <c r="E54" s="317" t="s">
        <v>31</v>
      </c>
      <c r="F54" s="317" t="s">
        <v>32</v>
      </c>
      <c r="G54" s="317" t="s">
        <v>33</v>
      </c>
      <c r="H54" s="317" t="s">
        <v>34</v>
      </c>
      <c r="I54" s="317" t="s">
        <v>19</v>
      </c>
      <c r="J54" s="317" t="s">
        <v>20</v>
      </c>
      <c r="K54" s="105"/>
      <c r="L54" s="105"/>
      <c r="M54" s="105"/>
      <c r="N54" s="105"/>
      <c r="O54" s="107"/>
    </row>
    <row r="55" spans="1:15" x14ac:dyDescent="0.25">
      <c r="A55" s="312">
        <v>10</v>
      </c>
      <c r="B55" s="312" t="s">
        <v>189</v>
      </c>
      <c r="C55" s="312" t="s">
        <v>188</v>
      </c>
      <c r="D55" s="316">
        <f>0.8/105154*E55^2*G55*SQRT(G55)+(0.003*EXP(0.319*E55))</f>
        <v>0.16167651505774214</v>
      </c>
      <c r="E55" s="312">
        <v>8</v>
      </c>
      <c r="F55" s="313" t="s">
        <v>35</v>
      </c>
      <c r="G55" s="315">
        <v>40</v>
      </c>
      <c r="H55" s="311" t="s">
        <v>35</v>
      </c>
      <c r="I55" s="310">
        <v>2</v>
      </c>
      <c r="J55" s="309">
        <f>D55*I55</f>
        <v>0.32335303011548427</v>
      </c>
      <c r="K55" s="105"/>
      <c r="L55" s="105"/>
      <c r="M55" s="105"/>
      <c r="N55" s="105"/>
      <c r="O55" s="107"/>
    </row>
    <row r="56" spans="1:15" x14ac:dyDescent="0.25">
      <c r="A56" s="312">
        <v>20</v>
      </c>
      <c r="B56" s="312" t="s">
        <v>187</v>
      </c>
      <c r="C56" s="312" t="s">
        <v>186</v>
      </c>
      <c r="D56" s="314">
        <f>(0.009*EXP(0.2*E56))</f>
        <v>4.4577291819556032E-2</v>
      </c>
      <c r="E56" s="312">
        <v>8</v>
      </c>
      <c r="F56" s="313" t="s">
        <v>35</v>
      </c>
      <c r="G56" s="312"/>
      <c r="H56" s="311"/>
      <c r="I56" s="310">
        <v>2</v>
      </c>
      <c r="J56" s="309">
        <f>D56*I56</f>
        <v>8.9154583639112064E-2</v>
      </c>
      <c r="K56" s="105"/>
      <c r="L56" s="105"/>
      <c r="M56" s="105"/>
      <c r="N56" s="105"/>
      <c r="O56" s="107"/>
    </row>
    <row r="57" spans="1:15" x14ac:dyDescent="0.25">
      <c r="A57" s="312">
        <v>30</v>
      </c>
      <c r="B57" s="312" t="s">
        <v>185</v>
      </c>
      <c r="C57" s="312" t="s">
        <v>184</v>
      </c>
      <c r="D57" s="312">
        <v>0.01</v>
      </c>
      <c r="E57" s="312">
        <v>8</v>
      </c>
      <c r="F57" s="313" t="s">
        <v>35</v>
      </c>
      <c r="G57" s="312"/>
      <c r="H57" s="311"/>
      <c r="I57" s="310">
        <v>4</v>
      </c>
      <c r="J57" s="309">
        <f>D57*I57</f>
        <v>0.04</v>
      </c>
      <c r="K57" s="122"/>
      <c r="L57" s="122"/>
      <c r="M57" s="122"/>
      <c r="N57" s="122"/>
      <c r="O57" s="107"/>
    </row>
    <row r="58" spans="1:15" x14ac:dyDescent="0.25">
      <c r="A58" s="114"/>
      <c r="B58" s="115"/>
      <c r="C58" s="115"/>
      <c r="D58" s="115"/>
      <c r="E58" s="115"/>
      <c r="F58" s="115"/>
      <c r="G58" s="115"/>
      <c r="H58" s="115"/>
      <c r="I58" s="308" t="s">
        <v>20</v>
      </c>
      <c r="J58" s="307">
        <f>SUM(J55:J57)</f>
        <v>0.45250761375459631</v>
      </c>
      <c r="K58" s="105"/>
      <c r="L58" s="105"/>
      <c r="M58" s="105"/>
      <c r="N58" s="105"/>
      <c r="O58" s="107"/>
    </row>
    <row r="59" spans="1:15" x14ac:dyDescent="0.25">
      <c r="A59" s="116"/>
      <c r="B59" s="105"/>
      <c r="C59" s="105"/>
      <c r="D59" s="105"/>
      <c r="E59" s="105"/>
      <c r="F59" s="105"/>
      <c r="G59" s="105"/>
      <c r="H59" s="105"/>
      <c r="I59" s="105"/>
      <c r="J59" s="105"/>
      <c r="K59" s="105"/>
      <c r="L59" s="105"/>
      <c r="M59" s="105"/>
      <c r="N59" s="105"/>
      <c r="O59" s="107"/>
    </row>
    <row r="60" spans="1:15" s="298" customFormat="1" x14ac:dyDescent="0.25">
      <c r="A60" s="306" t="s">
        <v>16</v>
      </c>
      <c r="B60" s="306" t="s">
        <v>70</v>
      </c>
      <c r="C60" s="306" t="s">
        <v>22</v>
      </c>
      <c r="D60" s="306" t="s">
        <v>23</v>
      </c>
      <c r="E60" s="306" t="s">
        <v>24</v>
      </c>
      <c r="F60" s="306" t="s">
        <v>19</v>
      </c>
      <c r="G60" s="306" t="s">
        <v>69</v>
      </c>
      <c r="H60" s="306" t="s">
        <v>68</v>
      </c>
      <c r="I60" s="306" t="s">
        <v>20</v>
      </c>
      <c r="J60" s="301"/>
      <c r="K60" s="300"/>
      <c r="L60" s="300"/>
      <c r="M60" s="300"/>
      <c r="N60" s="300"/>
      <c r="O60" s="299"/>
    </row>
    <row r="61" spans="1:15" s="298" customFormat="1" x14ac:dyDescent="0.25">
      <c r="A61" s="305">
        <v>10</v>
      </c>
      <c r="B61" s="305" t="s">
        <v>67</v>
      </c>
      <c r="C61" s="305" t="s">
        <v>183</v>
      </c>
      <c r="D61" s="178">
        <v>500</v>
      </c>
      <c r="E61" s="305" t="s">
        <v>66</v>
      </c>
      <c r="F61" s="305">
        <f>8</f>
        <v>8</v>
      </c>
      <c r="G61" s="305">
        <v>3000</v>
      </c>
      <c r="H61" s="305">
        <v>1</v>
      </c>
      <c r="I61" s="179">
        <f>D61*F61/G61*H61</f>
        <v>1.3333333333333333</v>
      </c>
      <c r="J61" s="301"/>
      <c r="K61" s="300"/>
      <c r="L61" s="300"/>
      <c r="M61" s="300"/>
      <c r="N61" s="300"/>
      <c r="O61" s="299"/>
    </row>
    <row r="62" spans="1:15" s="298" customFormat="1" x14ac:dyDescent="0.25">
      <c r="A62" s="304"/>
      <c r="B62" s="301"/>
      <c r="C62" s="301"/>
      <c r="D62" s="301"/>
      <c r="E62" s="301"/>
      <c r="F62" s="301"/>
      <c r="G62" s="301"/>
      <c r="H62" s="303" t="s">
        <v>20</v>
      </c>
      <c r="I62" s="302">
        <f>SUM(I61:I61)</f>
        <v>1.3333333333333333</v>
      </c>
      <c r="J62" s="301"/>
      <c r="K62" s="300"/>
      <c r="L62" s="300"/>
      <c r="M62" s="300"/>
      <c r="N62" s="300"/>
      <c r="O62" s="299"/>
    </row>
    <row r="63" spans="1:15" ht="15.75" thickBot="1" x14ac:dyDescent="0.3">
      <c r="A63" s="118"/>
      <c r="B63" s="119"/>
      <c r="C63" s="119"/>
      <c r="D63" s="119"/>
      <c r="E63" s="119"/>
      <c r="F63" s="119"/>
      <c r="G63" s="119"/>
      <c r="H63" s="119"/>
      <c r="I63" s="119"/>
      <c r="J63" s="119"/>
      <c r="K63" s="119"/>
      <c r="L63" s="119"/>
      <c r="M63" s="119"/>
      <c r="N63" s="119"/>
      <c r="O63" s="120"/>
    </row>
    <row r="64" spans="1:15" x14ac:dyDescent="0.25">
      <c r="A64" s="105"/>
      <c r="B64" s="105"/>
      <c r="C64" s="105"/>
      <c r="D64" s="105"/>
      <c r="E64" s="105"/>
      <c r="F64" s="105"/>
      <c r="G64" s="105"/>
      <c r="H64" s="105"/>
      <c r="I64" s="105"/>
      <c r="J64" s="105"/>
      <c r="K64" s="105"/>
      <c r="L64" s="105"/>
      <c r="M64" s="105"/>
      <c r="N64" s="105"/>
    </row>
  </sheetData>
  <hyperlinks>
    <hyperlink ref="B10" location="SU_01001" display="SU_01001"/>
    <hyperlink ref="B11:B13" location="BR_01001" display="BR_01001"/>
    <hyperlink ref="B14" location="SU_01005" display="SU_01005"/>
    <hyperlink ref="B16" location="SU_01007" display="SU_01007"/>
    <hyperlink ref="B11" location="SU_01002" display="SU_01002"/>
    <hyperlink ref="B12" location="SU_01003" display="SU_01003"/>
    <hyperlink ref="B13" location="SU_01004" display="SU_01004"/>
    <hyperlink ref="E2" location="SU_A0100_BOM" display="Back to BOM"/>
    <hyperlink ref="B15" location="SU_01006" display="Spacer 2"/>
    <hyperlink ref="B17" location="SU_01008" display="SU_01008"/>
    <hyperlink ref="B18" location="SU_01010" display="SU_01010"/>
    <hyperlink ref="B19" location="SU_01010" display="SU_01010"/>
    <hyperlink ref="B20" location="SU_01011" display="SU_01011"/>
  </hyperlinks>
  <pageMargins left="0.31496062992125984" right="0.31496062992125984" top="0.31496062992125984" bottom="0.39370078740157483" header="0.51181102362204722" footer="0.31496062992125984"/>
  <pageSetup paperSize="9" scale="65" firstPageNumber="0" fitToHeight="99" orientation="landscape" horizontalDpi="1200" verticalDpi="1200" r:id="rId1"/>
  <rowBreaks count="1" manualBreakCount="1">
    <brk id="63" max="16383" man="1"/>
  </row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3.5703125" style="103" customWidth="1"/>
    <col min="2" max="16384" width="11.5703125" style="103"/>
  </cols>
  <sheetData>
    <row r="1" spans="1:2" x14ac:dyDescent="0.3">
      <c r="A1" s="103" t="s">
        <v>88</v>
      </c>
      <c r="B1" s="60" t="s">
        <v>260</v>
      </c>
    </row>
  </sheetData>
  <hyperlinks>
    <hyperlink ref="B1" location="SU_01010" display="SU_01010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topLeftCell="A7"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7.42578125" style="103" customWidth="1"/>
    <col min="3" max="3" width="17.28515625" style="103" customWidth="1"/>
    <col min="4" max="6" width="11.5703125" style="103"/>
    <col min="7" max="7" width="14.5703125" style="103" customWidth="1"/>
    <col min="8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549" t="s">
        <v>0</v>
      </c>
      <c r="B2" s="104" t="s">
        <v>1</v>
      </c>
      <c r="C2" s="525"/>
      <c r="D2" s="525"/>
      <c r="E2" s="525"/>
      <c r="F2" s="184" t="s">
        <v>2</v>
      </c>
      <c r="G2" s="525"/>
      <c r="H2" s="525"/>
      <c r="I2" s="525"/>
      <c r="J2" s="377" t="s">
        <v>3</v>
      </c>
      <c r="K2" s="552">
        <v>81</v>
      </c>
      <c r="L2" s="525"/>
      <c r="M2" s="550" t="s">
        <v>18</v>
      </c>
      <c r="N2" s="553">
        <v>0.37972487499999996</v>
      </c>
      <c r="O2" s="128"/>
    </row>
    <row r="3" spans="1:15" ht="14.45" x14ac:dyDescent="0.3">
      <c r="A3" s="549" t="s">
        <v>5</v>
      </c>
      <c r="B3" s="104" t="str">
        <f>'SU A0100'!B3</f>
        <v>Suspension &amp; Shocks</v>
      </c>
      <c r="C3" s="552"/>
      <c r="D3" s="420" t="s">
        <v>8</v>
      </c>
      <c r="E3" s="60" t="s">
        <v>84</v>
      </c>
      <c r="F3" s="525"/>
      <c r="G3" s="525"/>
      <c r="H3" s="525"/>
      <c r="I3" s="525"/>
      <c r="J3" s="525"/>
      <c r="K3" s="525"/>
      <c r="L3" s="525"/>
      <c r="M3" s="550" t="s">
        <v>6</v>
      </c>
      <c r="N3" s="551">
        <v>1</v>
      </c>
      <c r="O3" s="128"/>
    </row>
    <row r="4" spans="1:15" ht="14.45" x14ac:dyDescent="0.3">
      <c r="A4" s="549" t="s">
        <v>7</v>
      </c>
      <c r="B4" s="58" t="str">
        <f>'SU A0100'!B4</f>
        <v>Upper Front A-arm</v>
      </c>
      <c r="C4" s="525"/>
      <c r="D4" s="420" t="s">
        <v>10</v>
      </c>
      <c r="E4" s="80"/>
      <c r="F4" s="525"/>
      <c r="G4" s="525"/>
      <c r="H4" s="525"/>
      <c r="I4" s="525"/>
      <c r="J4" s="377" t="s">
        <v>8</v>
      </c>
      <c r="K4" s="525"/>
      <c r="L4" s="525"/>
      <c r="M4" s="525"/>
      <c r="N4" s="525"/>
      <c r="O4" s="128"/>
    </row>
    <row r="5" spans="1:15" ht="14.45" x14ac:dyDescent="0.3">
      <c r="A5" s="555" t="s">
        <v>17</v>
      </c>
      <c r="B5" s="554" t="s">
        <v>263</v>
      </c>
      <c r="C5" s="525"/>
      <c r="D5" s="420" t="s">
        <v>14</v>
      </c>
      <c r="E5" s="80"/>
      <c r="F5" s="525"/>
      <c r="G5" s="525"/>
      <c r="H5" s="525"/>
      <c r="I5" s="525"/>
      <c r="J5" s="377" t="s">
        <v>10</v>
      </c>
      <c r="K5" s="525"/>
      <c r="L5" s="525"/>
      <c r="M5" s="550" t="s">
        <v>11</v>
      </c>
      <c r="N5" s="553">
        <f>N2*SU_01011_q</f>
        <v>0.37972487499999996</v>
      </c>
      <c r="O5" s="128"/>
    </row>
    <row r="6" spans="1:15" ht="14.45" x14ac:dyDescent="0.3">
      <c r="A6" s="549" t="s">
        <v>9</v>
      </c>
      <c r="B6" s="109" t="s">
        <v>262</v>
      </c>
      <c r="C6" s="525"/>
      <c r="D6" s="525"/>
      <c r="E6" s="525"/>
      <c r="F6" s="525"/>
      <c r="G6" s="525"/>
      <c r="H6" s="525"/>
      <c r="I6" s="525"/>
      <c r="J6" s="377" t="s">
        <v>14</v>
      </c>
      <c r="K6" s="525"/>
      <c r="L6" s="525"/>
      <c r="M6" s="525"/>
      <c r="N6" s="525"/>
      <c r="O6" s="128"/>
    </row>
    <row r="7" spans="1:15" ht="14.45" x14ac:dyDescent="0.3">
      <c r="A7" s="549" t="s">
        <v>12</v>
      </c>
      <c r="B7" s="104" t="s">
        <v>13</v>
      </c>
      <c r="C7" s="525"/>
      <c r="D7" s="525"/>
      <c r="E7" s="525"/>
      <c r="F7" s="525"/>
      <c r="G7" s="525"/>
      <c r="H7" s="525"/>
      <c r="I7" s="525"/>
      <c r="J7" s="525"/>
      <c r="K7" s="525"/>
      <c r="L7" s="525"/>
      <c r="M7" s="525"/>
      <c r="N7" s="525"/>
      <c r="O7" s="128"/>
    </row>
    <row r="8" spans="1:15" ht="14.45" x14ac:dyDescent="0.3">
      <c r="A8" s="549" t="s">
        <v>15</v>
      </c>
      <c r="B8" s="525" t="s">
        <v>124</v>
      </c>
      <c r="C8" s="525"/>
      <c r="D8" s="525"/>
      <c r="E8" s="525"/>
      <c r="F8" s="525"/>
      <c r="G8" s="525"/>
      <c r="H8" s="525"/>
      <c r="I8" s="525"/>
      <c r="J8" s="525"/>
      <c r="K8" s="525"/>
      <c r="L8" s="525"/>
      <c r="M8" s="525"/>
      <c r="N8" s="525"/>
      <c r="O8" s="128"/>
    </row>
    <row r="9" spans="1:15" ht="14.45" x14ac:dyDescent="0.3">
      <c r="A9" s="534"/>
      <c r="B9" s="525"/>
      <c r="C9" s="525"/>
      <c r="D9" s="525"/>
      <c r="E9" s="525"/>
      <c r="F9" s="525"/>
      <c r="G9" s="525"/>
      <c r="H9" s="525"/>
      <c r="I9" s="525"/>
      <c r="J9" s="525"/>
      <c r="K9" s="525"/>
      <c r="L9" s="525"/>
      <c r="M9" s="525"/>
      <c r="N9" s="525"/>
      <c r="O9" s="128"/>
    </row>
    <row r="10" spans="1:15" ht="14.45" x14ac:dyDescent="0.3">
      <c r="A10" s="533" t="s">
        <v>16</v>
      </c>
      <c r="B10" s="532" t="s">
        <v>38</v>
      </c>
      <c r="C10" s="532" t="s">
        <v>22</v>
      </c>
      <c r="D10" s="532" t="s">
        <v>23</v>
      </c>
      <c r="E10" s="532" t="s">
        <v>31</v>
      </c>
      <c r="F10" s="532" t="s">
        <v>32</v>
      </c>
      <c r="G10" s="532" t="s">
        <v>33</v>
      </c>
      <c r="H10" s="532" t="s">
        <v>34</v>
      </c>
      <c r="I10" s="532" t="s">
        <v>39</v>
      </c>
      <c r="J10" s="532" t="s">
        <v>40</v>
      </c>
      <c r="K10" s="532" t="s">
        <v>41</v>
      </c>
      <c r="L10" s="532" t="s">
        <v>42</v>
      </c>
      <c r="M10" s="532" t="s">
        <v>19</v>
      </c>
      <c r="N10" s="532" t="s">
        <v>20</v>
      </c>
      <c r="O10" s="128"/>
    </row>
    <row r="11" spans="1:15" ht="28.9" x14ac:dyDescent="0.3">
      <c r="A11" s="546">
        <v>10</v>
      </c>
      <c r="B11" s="545" t="s">
        <v>112</v>
      </c>
      <c r="C11" s="544" t="s">
        <v>115</v>
      </c>
      <c r="D11" s="548">
        <v>2.25</v>
      </c>
      <c r="E11" s="547">
        <f>J11*K11*L11</f>
        <v>4.9847500000000003E-2</v>
      </c>
      <c r="F11" s="540" t="s">
        <v>43</v>
      </c>
      <c r="G11" s="540"/>
      <c r="H11" s="537"/>
      <c r="I11" s="539" t="s">
        <v>83</v>
      </c>
      <c r="J11" s="538">
        <v>1.2700000000000001E-3</v>
      </c>
      <c r="K11" s="538">
        <v>5.0000000000000001E-3</v>
      </c>
      <c r="L11" s="536">
        <v>7850</v>
      </c>
      <c r="M11" s="536">
        <v>1</v>
      </c>
      <c r="N11" s="535">
        <f>IF(J11="",D11*M11,D11*J11*K11*L11*M11)</f>
        <v>0.11215687500000002</v>
      </c>
      <c r="O11" s="128"/>
    </row>
    <row r="12" spans="1:15" ht="14.45" x14ac:dyDescent="0.3">
      <c r="A12" s="546">
        <v>20</v>
      </c>
      <c r="B12" s="545" t="s">
        <v>116</v>
      </c>
      <c r="C12" s="544"/>
      <c r="D12" s="543">
        <v>10</v>
      </c>
      <c r="E12" s="542">
        <f>2*J11</f>
        <v>2.5400000000000002E-3</v>
      </c>
      <c r="F12" s="541" t="s">
        <v>73</v>
      </c>
      <c r="G12" s="540"/>
      <c r="H12" s="537"/>
      <c r="I12" s="539"/>
      <c r="J12" s="538"/>
      <c r="K12" s="537"/>
      <c r="L12" s="536"/>
      <c r="M12" s="536"/>
      <c r="N12" s="535">
        <f>E12*D12</f>
        <v>2.5400000000000002E-2</v>
      </c>
      <c r="O12" s="128"/>
    </row>
    <row r="13" spans="1:15" ht="14.45" x14ac:dyDescent="0.3">
      <c r="A13" s="515"/>
      <c r="B13" s="514"/>
      <c r="C13" s="514"/>
      <c r="D13" s="514"/>
      <c r="E13" s="514"/>
      <c r="F13" s="514"/>
      <c r="G13" s="514"/>
      <c r="H13" s="514"/>
      <c r="I13" s="514"/>
      <c r="J13" s="514"/>
      <c r="K13" s="514"/>
      <c r="L13" s="514"/>
      <c r="M13" s="513" t="s">
        <v>20</v>
      </c>
      <c r="N13" s="485">
        <f>SUM(N11:N12)</f>
        <v>0.13755687500000002</v>
      </c>
      <c r="O13" s="128"/>
    </row>
    <row r="14" spans="1:15" ht="14.45" x14ac:dyDescent="0.3">
      <c r="A14" s="534"/>
      <c r="B14" s="525"/>
      <c r="C14" s="525"/>
      <c r="D14" s="525"/>
      <c r="E14" s="525"/>
      <c r="F14" s="525"/>
      <c r="G14" s="525"/>
      <c r="H14" s="525"/>
      <c r="I14" s="525"/>
      <c r="J14" s="525"/>
      <c r="K14" s="525"/>
      <c r="L14" s="525"/>
      <c r="M14" s="525"/>
      <c r="N14" s="525"/>
      <c r="O14" s="128"/>
    </row>
    <row r="15" spans="1:15" ht="14.45" x14ac:dyDescent="0.3">
      <c r="A15" s="533" t="s">
        <v>16</v>
      </c>
      <c r="B15" s="532" t="s">
        <v>21</v>
      </c>
      <c r="C15" s="532" t="s">
        <v>22</v>
      </c>
      <c r="D15" s="532" t="s">
        <v>23</v>
      </c>
      <c r="E15" s="532" t="s">
        <v>24</v>
      </c>
      <c r="F15" s="532" t="s">
        <v>19</v>
      </c>
      <c r="G15" s="532" t="s">
        <v>25</v>
      </c>
      <c r="H15" s="532" t="s">
        <v>26</v>
      </c>
      <c r="I15" s="532" t="s">
        <v>20</v>
      </c>
      <c r="J15" s="514"/>
      <c r="K15" s="514"/>
      <c r="L15" s="514"/>
      <c r="M15" s="514"/>
      <c r="N15" s="514"/>
      <c r="O15" s="128"/>
    </row>
    <row r="16" spans="1:15" ht="28.15" customHeight="1" x14ac:dyDescent="0.3">
      <c r="A16" s="521">
        <v>10</v>
      </c>
      <c r="B16" s="518" t="s">
        <v>81</v>
      </c>
      <c r="C16" s="526" t="s">
        <v>122</v>
      </c>
      <c r="D16" s="531">
        <v>1.3</v>
      </c>
      <c r="E16" s="518" t="s">
        <v>24</v>
      </c>
      <c r="F16" s="470">
        <v>1</v>
      </c>
      <c r="G16" s="526" t="s">
        <v>117</v>
      </c>
      <c r="H16" s="517">
        <v>0.5</v>
      </c>
      <c r="I16" s="528">
        <f>H16*D16</f>
        <v>0.65</v>
      </c>
      <c r="J16" s="470"/>
      <c r="K16" s="525"/>
      <c r="L16" s="525"/>
      <c r="M16" s="525"/>
      <c r="N16" s="525"/>
      <c r="O16" s="128"/>
    </row>
    <row r="17" spans="1:15" ht="14.45" x14ac:dyDescent="0.3">
      <c r="A17" s="524">
        <v>20</v>
      </c>
      <c r="B17" s="530" t="s">
        <v>94</v>
      </c>
      <c r="C17" s="477"/>
      <c r="D17" s="531">
        <v>0.01</v>
      </c>
      <c r="E17" s="530" t="s">
        <v>76</v>
      </c>
      <c r="F17" s="529">
        <v>11.5</v>
      </c>
      <c r="G17" s="518"/>
      <c r="H17" s="517"/>
      <c r="I17" s="528">
        <f>IF(H17="",D17*F17,D17*F17*H17)</f>
        <v>0.115</v>
      </c>
      <c r="J17" s="470"/>
      <c r="K17" s="525"/>
      <c r="L17" s="525"/>
      <c r="M17" s="525"/>
      <c r="N17" s="525"/>
      <c r="O17" s="128"/>
    </row>
    <row r="18" spans="1:15" ht="43.15" x14ac:dyDescent="0.3">
      <c r="A18" s="521">
        <v>30</v>
      </c>
      <c r="B18" s="527" t="s">
        <v>81</v>
      </c>
      <c r="C18" s="522"/>
      <c r="D18" s="523">
        <v>0.65</v>
      </c>
      <c r="E18" s="522" t="s">
        <v>24</v>
      </c>
      <c r="F18" s="522">
        <v>1</v>
      </c>
      <c r="G18" s="526" t="s">
        <v>117</v>
      </c>
      <c r="H18" s="522">
        <v>0.5</v>
      </c>
      <c r="I18" s="516">
        <f>IF(H18="",D18*F18,D18*F18*H18)</f>
        <v>0.32500000000000001</v>
      </c>
      <c r="J18" s="470"/>
      <c r="K18" s="525"/>
      <c r="L18" s="525"/>
      <c r="M18" s="525"/>
      <c r="N18" s="525"/>
      <c r="O18" s="128"/>
    </row>
    <row r="19" spans="1:15" ht="14.45" x14ac:dyDescent="0.3">
      <c r="A19" s="524">
        <v>40</v>
      </c>
      <c r="B19" s="522" t="s">
        <v>80</v>
      </c>
      <c r="C19" s="522" t="s">
        <v>255</v>
      </c>
      <c r="D19" s="523">
        <v>2.9000000000000001E-2</v>
      </c>
      <c r="E19" s="522" t="s">
        <v>79</v>
      </c>
      <c r="F19" s="522">
        <v>1</v>
      </c>
      <c r="G19" s="522" t="s">
        <v>95</v>
      </c>
      <c r="H19" s="522">
        <v>3</v>
      </c>
      <c r="I19" s="516">
        <f>IF(H19="",D19*F19,D19*F19*H19)</f>
        <v>8.7000000000000008E-2</v>
      </c>
      <c r="J19" s="465"/>
      <c r="K19" s="514"/>
      <c r="L19" s="514"/>
      <c r="M19" s="514"/>
      <c r="N19" s="514"/>
      <c r="O19" s="128"/>
    </row>
    <row r="20" spans="1:15" ht="14.45" x14ac:dyDescent="0.3">
      <c r="A20" s="521">
        <v>50</v>
      </c>
      <c r="B20" s="518" t="s">
        <v>74</v>
      </c>
      <c r="C20" s="477" t="s">
        <v>123</v>
      </c>
      <c r="D20" s="520">
        <v>5.25</v>
      </c>
      <c r="E20" s="518" t="s">
        <v>73</v>
      </c>
      <c r="F20" s="519">
        <f>2*J11</f>
        <v>2.5400000000000002E-3</v>
      </c>
      <c r="G20" s="518"/>
      <c r="H20" s="517"/>
      <c r="I20" s="516">
        <f>F20*D20</f>
        <v>1.3335000000000001E-2</v>
      </c>
      <c r="J20" s="264"/>
      <c r="K20" s="105"/>
      <c r="L20" s="105"/>
      <c r="M20" s="105"/>
      <c r="N20" s="105"/>
      <c r="O20" s="128"/>
    </row>
    <row r="21" spans="1:15" ht="14.45" x14ac:dyDescent="0.3">
      <c r="A21" s="515"/>
      <c r="B21" s="514"/>
      <c r="C21" s="514"/>
      <c r="D21" s="514"/>
      <c r="E21" s="514"/>
      <c r="F21" s="514"/>
      <c r="G21" s="514"/>
      <c r="H21" s="513" t="s">
        <v>20</v>
      </c>
      <c r="I21" s="453">
        <f>SUM(I16:I20)</f>
        <v>1.1903350000000001</v>
      </c>
      <c r="J21" s="105"/>
      <c r="K21" s="105"/>
      <c r="L21" s="105"/>
      <c r="M21" s="105"/>
      <c r="N21" s="105"/>
      <c r="O21" s="128"/>
    </row>
    <row r="22" spans="1:15" thickBot="1" x14ac:dyDescent="0.35">
      <c r="A22" s="138"/>
      <c r="B22" s="139"/>
      <c r="C22" s="139"/>
      <c r="D22" s="139"/>
      <c r="E22" s="139"/>
      <c r="F22" s="139"/>
      <c r="G22" s="139"/>
      <c r="H22" s="139"/>
      <c r="I22" s="139"/>
      <c r="J22" s="139"/>
      <c r="K22" s="139"/>
      <c r="L22" s="139"/>
      <c r="M22" s="139"/>
      <c r="N22" s="139"/>
      <c r="O22" s="140"/>
    </row>
  </sheetData>
  <hyperlinks>
    <hyperlink ref="B4" location="'SU A0100'!A1" display="'SU A0100'!A1"/>
    <hyperlink ref="F2" location="SU_A0100_BOM" display="Back to BOM"/>
    <hyperlink ref="E3" location="dSU_01011" display="Drawing"/>
  </hyperlinks>
  <pageMargins left="0.31496062992125984" right="0.31496062992125984" top="0.31496062992125984" bottom="0.39370078740157483" header="0.51181102362204722" footer="0.31496062992125984"/>
  <pageSetup paperSize="9" scale="76" fitToHeight="99" orientation="landscape" horizontalDpi="1200" verticalDpi="120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2.7109375" style="103" customWidth="1"/>
    <col min="2" max="16384" width="11.5703125" style="103"/>
  </cols>
  <sheetData>
    <row r="1" spans="1:2" x14ac:dyDescent="0.3">
      <c r="A1" s="103" t="s">
        <v>88</v>
      </c>
      <c r="B1" s="60" t="s">
        <v>262</v>
      </c>
    </row>
  </sheetData>
  <hyperlinks>
    <hyperlink ref="B1" location="SU_01011" display="SU_0101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4"/>
  <sheetViews>
    <sheetView zoomScale="80" zoomScaleNormal="80" zoomScaleSheetLayoutView="8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57.140625" style="103" customWidth="1"/>
    <col min="3" max="3" width="49.28515625" style="103" customWidth="1"/>
    <col min="4" max="4" width="9.140625" style="103"/>
    <col min="5" max="5" width="9.85546875" style="103" customWidth="1"/>
    <col min="6" max="13" width="9.140625" style="103"/>
    <col min="14" max="14" width="11.5703125" style="103" customWidth="1"/>
    <col min="15" max="15" width="5.28515625" style="103" customWidth="1"/>
    <col min="16" max="16384" width="9.140625" style="103"/>
  </cols>
  <sheetData>
    <row r="1" spans="1:15" ht="14.45" x14ac:dyDescent="0.3">
      <c r="A1" s="75"/>
      <c r="B1" s="76"/>
      <c r="C1" s="76"/>
      <c r="D1" s="76"/>
      <c r="E1" s="76"/>
      <c r="F1" s="76"/>
      <c r="G1" s="76"/>
      <c r="H1" s="76"/>
      <c r="I1" s="76"/>
      <c r="J1" s="76"/>
      <c r="K1" s="76"/>
      <c r="L1" s="76"/>
      <c r="M1" s="76"/>
      <c r="N1" s="76"/>
      <c r="O1" s="77"/>
    </row>
    <row r="2" spans="1:15" ht="14.45" x14ac:dyDescent="0.3">
      <c r="A2" s="561" t="s">
        <v>0</v>
      </c>
      <c r="B2" s="79" t="s">
        <v>1</v>
      </c>
      <c r="C2" s="80"/>
      <c r="D2" s="80"/>
      <c r="E2" s="81" t="s">
        <v>2</v>
      </c>
      <c r="F2" s="80"/>
      <c r="G2" s="80"/>
      <c r="H2" s="80"/>
      <c r="I2" s="80"/>
      <c r="J2" s="561" t="s">
        <v>3</v>
      </c>
      <c r="K2" s="82">
        <v>81</v>
      </c>
      <c r="L2" s="80"/>
      <c r="M2" s="561" t="s">
        <v>4</v>
      </c>
      <c r="N2" s="83">
        <f>SU_A0200_pa+SU_A0200_m+SU_A0200_p+SU_A0200_f</f>
        <v>75.396083383825172</v>
      </c>
      <c r="O2" s="84"/>
    </row>
    <row r="3" spans="1:15" ht="14.45" x14ac:dyDescent="0.3">
      <c r="A3" s="561" t="s">
        <v>5</v>
      </c>
      <c r="B3" s="79" t="s">
        <v>106</v>
      </c>
      <c r="C3" s="80"/>
      <c r="D3" s="80"/>
      <c r="E3" s="80"/>
      <c r="F3" s="80"/>
      <c r="G3" s="80"/>
      <c r="H3" s="80"/>
      <c r="I3" s="80"/>
      <c r="J3" s="80"/>
      <c r="K3" s="80"/>
      <c r="L3" s="80"/>
      <c r="M3" s="561" t="s">
        <v>6</v>
      </c>
      <c r="N3" s="85">
        <v>2</v>
      </c>
      <c r="O3" s="84"/>
    </row>
    <row r="4" spans="1:15" ht="14.45" x14ac:dyDescent="0.3">
      <c r="A4" s="561" t="s">
        <v>7</v>
      </c>
      <c r="B4" s="80" t="s">
        <v>265</v>
      </c>
      <c r="C4" s="80"/>
      <c r="D4" s="80"/>
      <c r="E4" s="80"/>
      <c r="F4" s="80"/>
      <c r="G4" s="80"/>
      <c r="H4" s="80"/>
      <c r="I4" s="80"/>
      <c r="J4" s="588" t="s">
        <v>8</v>
      </c>
      <c r="K4" s="80"/>
      <c r="L4" s="80"/>
      <c r="M4" s="80"/>
      <c r="N4" s="80"/>
      <c r="O4" s="84"/>
    </row>
    <row r="5" spans="1:15" ht="14.45" x14ac:dyDescent="0.3">
      <c r="A5" s="561" t="s">
        <v>9</v>
      </c>
      <c r="B5" s="86" t="s">
        <v>264</v>
      </c>
      <c r="C5" s="80"/>
      <c r="D5" s="80"/>
      <c r="E5" s="80"/>
      <c r="F5" s="80"/>
      <c r="G5" s="80"/>
      <c r="H5" s="80"/>
      <c r="I5" s="80"/>
      <c r="J5" s="588" t="s">
        <v>10</v>
      </c>
      <c r="K5" s="80"/>
      <c r="L5" s="80"/>
      <c r="M5" s="561" t="s">
        <v>11</v>
      </c>
      <c r="N5" s="87">
        <f>N2*N3</f>
        <v>150.79216676765034</v>
      </c>
      <c r="O5" s="84"/>
    </row>
    <row r="6" spans="1:15" ht="14.45" x14ac:dyDescent="0.3">
      <c r="A6" s="561" t="s">
        <v>12</v>
      </c>
      <c r="B6" s="79"/>
      <c r="C6" s="80"/>
      <c r="D6" s="80"/>
      <c r="E6" s="80"/>
      <c r="F6" s="80"/>
      <c r="G6" s="80"/>
      <c r="H6" s="80"/>
      <c r="I6" s="80"/>
      <c r="J6" s="588" t="s">
        <v>14</v>
      </c>
      <c r="K6" s="80"/>
      <c r="L6" s="80"/>
      <c r="M6" s="80"/>
      <c r="N6" s="80"/>
      <c r="O6" s="84"/>
    </row>
    <row r="7" spans="1:15" ht="14.45" x14ac:dyDescent="0.3">
      <c r="A7" s="561" t="s">
        <v>15</v>
      </c>
      <c r="B7" s="79"/>
      <c r="C7" s="80"/>
      <c r="D7" s="80"/>
      <c r="E7" s="80"/>
      <c r="F7" s="80"/>
      <c r="G7" s="80"/>
      <c r="H7" s="80"/>
      <c r="I7" s="80"/>
      <c r="J7" s="80"/>
      <c r="K7" s="80"/>
      <c r="L7" s="80"/>
      <c r="M7" s="80"/>
      <c r="N7" s="80"/>
      <c r="O7" s="84"/>
    </row>
    <row r="8" spans="1:15" ht="14.45" x14ac:dyDescent="0.3">
      <c r="A8" s="88"/>
      <c r="B8" s="80"/>
      <c r="C8" s="80"/>
      <c r="D8" s="80"/>
      <c r="E8" s="80"/>
      <c r="F8" s="80"/>
      <c r="G8" s="80"/>
      <c r="H8" s="80"/>
      <c r="I8" s="80"/>
      <c r="J8" s="80"/>
      <c r="K8" s="80"/>
      <c r="L8" s="80"/>
      <c r="M8" s="80"/>
      <c r="N8" s="80"/>
      <c r="O8" s="84"/>
    </row>
    <row r="9" spans="1:15" ht="14.45" x14ac:dyDescent="0.3">
      <c r="A9" s="561" t="s">
        <v>16</v>
      </c>
      <c r="B9" s="561" t="s">
        <v>17</v>
      </c>
      <c r="C9" s="561" t="s">
        <v>18</v>
      </c>
      <c r="D9" s="561" t="s">
        <v>19</v>
      </c>
      <c r="E9" s="561" t="s">
        <v>20</v>
      </c>
      <c r="F9" s="80"/>
      <c r="G9" s="80"/>
      <c r="H9" s="80"/>
      <c r="I9" s="80"/>
      <c r="J9" s="80"/>
      <c r="K9" s="80"/>
      <c r="L9" s="80"/>
      <c r="M9" s="80"/>
      <c r="N9" s="80"/>
      <c r="O9" s="84"/>
    </row>
    <row r="10" spans="1:15" ht="14.45" x14ac:dyDescent="0.3">
      <c r="A10" s="89">
        <v>10</v>
      </c>
      <c r="B10" s="586" t="str">
        <f>'SU 02001'!B5</f>
        <v>Lower Front Bearing Support</v>
      </c>
      <c r="C10" s="87">
        <f>'SU 02001'!N2</f>
        <v>9.1140000000000008</v>
      </c>
      <c r="D10" s="587">
        <f>SU_02001_q</f>
        <v>1</v>
      </c>
      <c r="E10" s="87">
        <f t="shared" ref="E10:E20" si="0">C10*D10</f>
        <v>9.1140000000000008</v>
      </c>
      <c r="F10" s="80"/>
      <c r="G10" s="80"/>
      <c r="H10" s="80"/>
      <c r="I10" s="80"/>
      <c r="J10" s="80"/>
      <c r="K10" s="80"/>
      <c r="L10" s="80"/>
      <c r="M10" s="80"/>
      <c r="N10" s="80"/>
      <c r="O10" s="84"/>
    </row>
    <row r="11" spans="1:15" ht="14.45" x14ac:dyDescent="0.3">
      <c r="A11" s="89">
        <v>20</v>
      </c>
      <c r="B11" s="586" t="str">
        <f>'SU 02002'!B5</f>
        <v>Inner Bearing Support</v>
      </c>
      <c r="C11" s="87">
        <f>'SU 02002'!N2</f>
        <v>1.8728805440000003</v>
      </c>
      <c r="D11" s="89">
        <f>SU_02002_q</f>
        <v>2</v>
      </c>
      <c r="E11" s="87">
        <f t="shared" si="0"/>
        <v>3.7457610880000005</v>
      </c>
      <c r="F11" s="80"/>
      <c r="G11" s="80"/>
      <c r="H11" s="80"/>
      <c r="I11" s="80"/>
      <c r="J11" s="80"/>
      <c r="K11" s="80"/>
      <c r="L11" s="80"/>
      <c r="M11" s="80"/>
      <c r="N11" s="80"/>
      <c r="O11" s="84"/>
    </row>
    <row r="12" spans="1:15" ht="14.45" x14ac:dyDescent="0.3">
      <c r="A12" s="89">
        <v>30</v>
      </c>
      <c r="B12" s="586" t="str">
        <f>'SU 02003'!B5</f>
        <v>Lower Front A-arm tube (Front)  Carbon Fiber Tube</v>
      </c>
      <c r="C12" s="87">
        <f>'SU 02003'!N2</f>
        <v>11.220746039999998</v>
      </c>
      <c r="D12" s="587">
        <f>SU_02003_q</f>
        <v>1</v>
      </c>
      <c r="E12" s="87">
        <f t="shared" si="0"/>
        <v>11.220746039999998</v>
      </c>
      <c r="F12" s="80"/>
      <c r="G12" s="80"/>
      <c r="H12" s="80"/>
      <c r="I12" s="80"/>
      <c r="J12" s="80"/>
      <c r="K12" s="80"/>
      <c r="L12" s="80"/>
      <c r="M12" s="80"/>
      <c r="N12" s="80"/>
      <c r="O12" s="90"/>
    </row>
    <row r="13" spans="1:15" s="149" customFormat="1" ht="14.45" x14ac:dyDescent="0.3">
      <c r="A13" s="89">
        <v>40</v>
      </c>
      <c r="B13" s="586" t="str">
        <f>'SU 02004'!B5</f>
        <v>Lower Front A-arm tube (Back)  Carbon Fiber Tube</v>
      </c>
      <c r="C13" s="87">
        <f>'SU 02004'!N2</f>
        <v>10.001779199999998</v>
      </c>
      <c r="D13" s="89">
        <f>SU_02004_q</f>
        <v>1</v>
      </c>
      <c r="E13" s="87">
        <f t="shared" si="0"/>
        <v>10.001779199999998</v>
      </c>
      <c r="F13" s="80"/>
      <c r="G13" s="80"/>
      <c r="H13" s="80"/>
      <c r="I13" s="80"/>
      <c r="J13" s="80"/>
      <c r="K13" s="80"/>
      <c r="L13" s="80"/>
      <c r="M13" s="80"/>
      <c r="N13" s="80"/>
      <c r="O13" s="90"/>
    </row>
    <row r="14" spans="1:15" s="149" customFormat="1" ht="14.45" x14ac:dyDescent="0.3">
      <c r="A14" s="89">
        <v>50</v>
      </c>
      <c r="B14" s="586" t="str">
        <f>'SU 02005'!B5</f>
        <v>Spacer 1</v>
      </c>
      <c r="C14" s="87">
        <f>'SU 02005'!N2</f>
        <v>0.90817037600000006</v>
      </c>
      <c r="D14" s="587">
        <f>SU_02005_q</f>
        <v>2</v>
      </c>
      <c r="E14" s="87">
        <f t="shared" si="0"/>
        <v>1.8163407520000001</v>
      </c>
      <c r="F14" s="80"/>
      <c r="G14" s="80"/>
      <c r="H14" s="80"/>
      <c r="I14" s="80"/>
      <c r="J14" s="80"/>
      <c r="K14" s="80"/>
      <c r="L14" s="80"/>
      <c r="M14" s="80"/>
      <c r="N14" s="80"/>
      <c r="O14" s="84"/>
    </row>
    <row r="15" spans="1:15" s="149" customFormat="1" ht="14.45" x14ac:dyDescent="0.3">
      <c r="A15" s="89">
        <v>60</v>
      </c>
      <c r="B15" s="586" t="str">
        <f>'SU 02006'!B5</f>
        <v>Spacer 2</v>
      </c>
      <c r="C15" s="87">
        <f>'SU 02006'!N2</f>
        <v>0.32421353411764708</v>
      </c>
      <c r="D15" s="89">
        <f>SU_02006_q</f>
        <v>4</v>
      </c>
      <c r="E15" s="87">
        <f t="shared" si="0"/>
        <v>1.2968541364705883</v>
      </c>
      <c r="F15" s="80"/>
      <c r="G15" s="80"/>
      <c r="H15" s="80"/>
      <c r="I15" s="80"/>
      <c r="J15" s="80"/>
      <c r="K15" s="80"/>
      <c r="L15" s="80"/>
      <c r="M15" s="80"/>
      <c r="N15" s="80"/>
      <c r="O15" s="84"/>
    </row>
    <row r="16" spans="1:15" s="149" customFormat="1" ht="14.45" x14ac:dyDescent="0.3">
      <c r="A16" s="91">
        <v>70</v>
      </c>
      <c r="B16" s="585" t="str">
        <f>'SU 02007'!B5</f>
        <v>Outboard A-arm Insert</v>
      </c>
      <c r="C16" s="92">
        <f>'SU 02007'!N2</f>
        <v>0.47719727680000001</v>
      </c>
      <c r="D16" s="584">
        <f>SU_02007_q</f>
        <v>2</v>
      </c>
      <c r="E16" s="92">
        <f t="shared" si="0"/>
        <v>0.95439455360000003</v>
      </c>
      <c r="F16" s="80"/>
      <c r="G16" s="80"/>
      <c r="H16" s="80"/>
      <c r="I16" s="80"/>
      <c r="J16" s="80"/>
      <c r="K16" s="80"/>
      <c r="L16" s="80"/>
      <c r="M16" s="80"/>
      <c r="N16" s="80"/>
      <c r="O16" s="84"/>
    </row>
    <row r="17" spans="1:15" s="149" customFormat="1" ht="14.45" x14ac:dyDescent="0.3">
      <c r="A17" s="578">
        <v>80</v>
      </c>
      <c r="B17" s="583" t="str">
        <f>'SU 02008'!B5</f>
        <v>Front up bracket</v>
      </c>
      <c r="C17" s="581">
        <f>'SU 02008'!N2</f>
        <v>1.3868720000000001</v>
      </c>
      <c r="D17" s="582">
        <f>SU_02008_q</f>
        <v>1</v>
      </c>
      <c r="E17" s="581">
        <f t="shared" si="0"/>
        <v>1.3868720000000001</v>
      </c>
      <c r="F17" s="80"/>
      <c r="G17" s="80"/>
      <c r="H17" s="80"/>
      <c r="I17" s="80"/>
      <c r="J17" s="80"/>
      <c r="K17" s="80"/>
      <c r="L17" s="80"/>
      <c r="M17" s="80"/>
      <c r="N17" s="80"/>
      <c r="O17" s="84"/>
    </row>
    <row r="18" spans="1:15" s="149" customFormat="1" ht="14.45" x14ac:dyDescent="0.3">
      <c r="A18" s="578">
        <v>90</v>
      </c>
      <c r="B18" s="583" t="str">
        <f>'SU 02009'!B5</f>
        <v>Front down bracket</v>
      </c>
      <c r="C18" s="581">
        <f>'SU 02009'!N2</f>
        <v>1.4357435000000001</v>
      </c>
      <c r="D18" s="582">
        <f>SU_02009_q</f>
        <v>1</v>
      </c>
      <c r="E18" s="581">
        <f t="shared" si="0"/>
        <v>1.4357435000000001</v>
      </c>
      <c r="F18" s="80"/>
      <c r="G18" s="80"/>
      <c r="H18" s="80"/>
      <c r="I18" s="80"/>
      <c r="J18" s="80"/>
      <c r="K18" s="80"/>
      <c r="L18" s="80"/>
      <c r="M18" s="80"/>
      <c r="N18" s="80"/>
      <c r="O18" s="84"/>
    </row>
    <row r="19" spans="1:15" s="149" customFormat="1" ht="14.45" x14ac:dyDescent="0.3">
      <c r="A19" s="578">
        <v>100</v>
      </c>
      <c r="B19" s="583" t="str">
        <f>'SU 02010'!B5</f>
        <v>Rear Up bracket</v>
      </c>
      <c r="C19" s="581">
        <f>'SU 02010'!N2</f>
        <v>1.3315549999999998</v>
      </c>
      <c r="D19" s="582">
        <f>SU_02010_q</f>
        <v>1</v>
      </c>
      <c r="E19" s="581">
        <f t="shared" si="0"/>
        <v>1.3315549999999998</v>
      </c>
      <c r="F19" s="80"/>
      <c r="G19" s="80"/>
      <c r="H19" s="80"/>
      <c r="I19" s="80"/>
      <c r="J19" s="80"/>
      <c r="K19" s="80"/>
      <c r="L19" s="80"/>
      <c r="M19" s="80"/>
      <c r="N19" s="80"/>
      <c r="O19" s="84"/>
    </row>
    <row r="20" spans="1:15" s="149" customFormat="1" ht="14.45" x14ac:dyDescent="0.3">
      <c r="A20" s="578">
        <v>110</v>
      </c>
      <c r="B20" s="583" t="str">
        <f>'SU 02011'!B5</f>
        <v>Rear down bracket</v>
      </c>
      <c r="C20" s="581">
        <f>'SU 02011'!N2</f>
        <v>1.41506025</v>
      </c>
      <c r="D20" s="582">
        <f>SU_02011_q</f>
        <v>1</v>
      </c>
      <c r="E20" s="581">
        <f t="shared" si="0"/>
        <v>1.41506025</v>
      </c>
      <c r="F20" s="80"/>
      <c r="G20" s="80"/>
      <c r="H20" s="80"/>
      <c r="I20" s="80"/>
      <c r="J20" s="80"/>
      <c r="K20" s="80"/>
      <c r="L20" s="80"/>
      <c r="M20" s="80"/>
      <c r="N20" s="80"/>
      <c r="O20" s="84"/>
    </row>
    <row r="21" spans="1:15" ht="14.45" x14ac:dyDescent="0.3">
      <c r="A21" s="88"/>
      <c r="B21" s="80"/>
      <c r="C21" s="80"/>
      <c r="D21" s="580" t="s">
        <v>20</v>
      </c>
      <c r="E21" s="566">
        <f>SUM(E10:E16)</f>
        <v>38.14987577007058</v>
      </c>
      <c r="F21" s="80"/>
      <c r="G21" s="80"/>
      <c r="H21" s="80"/>
      <c r="I21" s="80"/>
      <c r="J21" s="80"/>
      <c r="K21" s="80"/>
      <c r="L21" s="80"/>
      <c r="M21" s="80"/>
      <c r="N21" s="80"/>
      <c r="O21" s="84"/>
    </row>
    <row r="22" spans="1:15" ht="14.45" x14ac:dyDescent="0.3">
      <c r="A22" s="88"/>
      <c r="B22" s="80"/>
      <c r="C22" s="80"/>
      <c r="D22" s="80"/>
      <c r="E22" s="80"/>
      <c r="F22" s="80"/>
      <c r="G22" s="80"/>
      <c r="H22" s="80"/>
      <c r="I22" s="80"/>
      <c r="J22" s="80"/>
      <c r="K22" s="80"/>
      <c r="L22" s="80"/>
      <c r="M22" s="80"/>
      <c r="N22" s="80"/>
      <c r="O22" s="84"/>
    </row>
    <row r="23" spans="1:15" ht="14.45" x14ac:dyDescent="0.3">
      <c r="A23" s="579" t="s">
        <v>16</v>
      </c>
      <c r="B23" s="579" t="s">
        <v>38</v>
      </c>
      <c r="C23" s="579" t="s">
        <v>22</v>
      </c>
      <c r="D23" s="579" t="s">
        <v>23</v>
      </c>
      <c r="E23" s="579" t="s">
        <v>31</v>
      </c>
      <c r="F23" s="579" t="s">
        <v>32</v>
      </c>
      <c r="G23" s="579" t="s">
        <v>33</v>
      </c>
      <c r="H23" s="579" t="s">
        <v>34</v>
      </c>
      <c r="I23" s="579" t="s">
        <v>39</v>
      </c>
      <c r="J23" s="579" t="s">
        <v>40</v>
      </c>
      <c r="K23" s="579" t="s">
        <v>41</v>
      </c>
      <c r="L23" s="579" t="s">
        <v>42</v>
      </c>
      <c r="M23" s="579" t="s">
        <v>19</v>
      </c>
      <c r="N23" s="579" t="s">
        <v>20</v>
      </c>
      <c r="O23" s="84"/>
    </row>
    <row r="24" spans="1:15" ht="14.45" customHeight="1" x14ac:dyDescent="0.3">
      <c r="A24" s="578">
        <v>10</v>
      </c>
      <c r="B24" s="578" t="s">
        <v>217</v>
      </c>
      <c r="C24" s="578"/>
      <c r="D24" s="577">
        <f>0.03*E24^2+5</f>
        <v>6.92</v>
      </c>
      <c r="E24" s="260">
        <v>8</v>
      </c>
      <c r="F24" s="260" t="s">
        <v>35</v>
      </c>
      <c r="G24" s="260"/>
      <c r="H24" s="222"/>
      <c r="I24" s="576"/>
      <c r="J24" s="575"/>
      <c r="K24" s="222"/>
      <c r="L24" s="222"/>
      <c r="M24" s="569">
        <v>3</v>
      </c>
      <c r="N24" s="226">
        <f>M24*D24</f>
        <v>20.759999999999998</v>
      </c>
      <c r="O24" s="84"/>
    </row>
    <row r="25" spans="1:15" s="113" customFormat="1" ht="14.45" customHeight="1" x14ac:dyDescent="0.25">
      <c r="A25" s="260">
        <v>20</v>
      </c>
      <c r="B25" s="572" t="s">
        <v>44</v>
      </c>
      <c r="C25" s="571" t="s">
        <v>216</v>
      </c>
      <c r="D25" s="226"/>
      <c r="E25" s="411"/>
      <c r="F25" s="411">
        <v>95</v>
      </c>
      <c r="G25" s="411"/>
      <c r="H25" s="222"/>
      <c r="I25" s="410"/>
      <c r="J25" s="574"/>
      <c r="K25" s="573"/>
      <c r="L25" s="568"/>
      <c r="M25" s="570"/>
      <c r="N25" s="226">
        <f>M25*D25</f>
        <v>0</v>
      </c>
      <c r="O25" s="407"/>
    </row>
    <row r="26" spans="1:15" ht="31.9" customHeight="1" x14ac:dyDescent="0.25">
      <c r="A26" s="260">
        <v>30</v>
      </c>
      <c r="B26" s="572" t="s">
        <v>44</v>
      </c>
      <c r="C26" s="571" t="s">
        <v>215</v>
      </c>
      <c r="D26" s="226"/>
      <c r="E26" s="260"/>
      <c r="F26" s="260"/>
      <c r="G26" s="260"/>
      <c r="H26" s="222"/>
      <c r="I26" s="570"/>
      <c r="J26" s="569"/>
      <c r="K26" s="222"/>
      <c r="L26" s="568"/>
      <c r="M26" s="222"/>
      <c r="N26" s="226">
        <f>M26*D26</f>
        <v>0</v>
      </c>
      <c r="O26" s="84"/>
    </row>
    <row r="27" spans="1:15" ht="14.45" x14ac:dyDescent="0.3">
      <c r="A27" s="93"/>
      <c r="B27" s="94"/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567" t="s">
        <v>20</v>
      </c>
      <c r="N27" s="566">
        <f>SUM(N24:N26)</f>
        <v>20.759999999999998</v>
      </c>
      <c r="O27" s="84"/>
    </row>
    <row r="28" spans="1:15" ht="14.45" x14ac:dyDescent="0.3">
      <c r="A28" s="88"/>
      <c r="B28" s="80"/>
      <c r="C28" s="80"/>
      <c r="D28" s="80"/>
      <c r="E28" s="80"/>
      <c r="F28" s="80"/>
      <c r="G28" s="80"/>
      <c r="H28" s="80"/>
      <c r="I28" s="80"/>
      <c r="J28" s="80"/>
      <c r="K28" s="80"/>
      <c r="L28" s="80"/>
      <c r="M28" s="80"/>
      <c r="N28" s="80"/>
      <c r="O28" s="84"/>
    </row>
    <row r="29" spans="1:15" s="124" customFormat="1" x14ac:dyDescent="0.25">
      <c r="A29" s="561" t="s">
        <v>16</v>
      </c>
      <c r="B29" s="561" t="s">
        <v>21</v>
      </c>
      <c r="C29" s="561" t="s">
        <v>22</v>
      </c>
      <c r="D29" s="561" t="s">
        <v>23</v>
      </c>
      <c r="E29" s="561" t="s">
        <v>24</v>
      </c>
      <c r="F29" s="561" t="s">
        <v>19</v>
      </c>
      <c r="G29" s="561" t="s">
        <v>25</v>
      </c>
      <c r="H29" s="561" t="s">
        <v>26</v>
      </c>
      <c r="I29" s="561" t="s">
        <v>20</v>
      </c>
      <c r="J29" s="94"/>
      <c r="K29" s="94"/>
      <c r="L29" s="94"/>
      <c r="M29" s="94"/>
      <c r="N29" s="94"/>
      <c r="O29" s="95"/>
    </row>
    <row r="30" spans="1:15" s="298" customFormat="1" x14ac:dyDescent="0.25">
      <c r="A30" s="305">
        <v>10</v>
      </c>
      <c r="B30" s="177" t="s">
        <v>131</v>
      </c>
      <c r="C30" s="326" t="s">
        <v>214</v>
      </c>
      <c r="D30" s="185">
        <v>0.02</v>
      </c>
      <c r="E30" s="305" t="s">
        <v>133</v>
      </c>
      <c r="F30" s="323">
        <v>8.66</v>
      </c>
      <c r="G30" s="323" t="s">
        <v>204</v>
      </c>
      <c r="H30" s="323">
        <v>2</v>
      </c>
      <c r="I30" s="185">
        <f t="shared" ref="I30:I51" si="1">IF(H30="",D30*F30,D30*F30*H30)</f>
        <v>0.34639999999999999</v>
      </c>
      <c r="J30" s="301"/>
      <c r="K30" s="301"/>
      <c r="L30" s="301"/>
      <c r="M30" s="301"/>
      <c r="N30" s="301"/>
      <c r="O30" s="325"/>
    </row>
    <row r="31" spans="1:15" s="298" customFormat="1" x14ac:dyDescent="0.25">
      <c r="A31" s="305">
        <v>20</v>
      </c>
      <c r="B31" s="177" t="s">
        <v>113</v>
      </c>
      <c r="C31" s="326" t="s">
        <v>213</v>
      </c>
      <c r="D31" s="185">
        <v>0.02</v>
      </c>
      <c r="E31" s="305" t="s">
        <v>133</v>
      </c>
      <c r="F31" s="323">
        <v>8.66</v>
      </c>
      <c r="G31" s="323" t="s">
        <v>204</v>
      </c>
      <c r="H31" s="323">
        <v>2</v>
      </c>
      <c r="I31" s="185">
        <f t="shared" si="1"/>
        <v>0.34639999999999999</v>
      </c>
      <c r="J31" s="300"/>
      <c r="K31" s="300"/>
      <c r="L31" s="300"/>
      <c r="M31" s="300"/>
      <c r="N31" s="300"/>
      <c r="O31" s="299"/>
    </row>
    <row r="32" spans="1:15" s="298" customFormat="1" x14ac:dyDescent="0.25">
      <c r="A32" s="305">
        <v>30</v>
      </c>
      <c r="B32" s="177" t="s">
        <v>131</v>
      </c>
      <c r="C32" s="326" t="s">
        <v>212</v>
      </c>
      <c r="D32" s="185">
        <v>0.02</v>
      </c>
      <c r="E32" s="305" t="s">
        <v>133</v>
      </c>
      <c r="F32" s="323">
        <v>8.66</v>
      </c>
      <c r="G32" s="323" t="s">
        <v>204</v>
      </c>
      <c r="H32" s="323">
        <v>2</v>
      </c>
      <c r="I32" s="185">
        <f t="shared" si="1"/>
        <v>0.34639999999999999</v>
      </c>
      <c r="J32" s="301"/>
      <c r="K32" s="301"/>
      <c r="L32" s="301"/>
      <c r="M32" s="301"/>
      <c r="N32" s="301"/>
      <c r="O32" s="325"/>
    </row>
    <row r="33" spans="1:15" s="298" customFormat="1" x14ac:dyDescent="0.25">
      <c r="A33" s="305">
        <v>40</v>
      </c>
      <c r="B33" s="177" t="s">
        <v>197</v>
      </c>
      <c r="C33" s="324" t="s">
        <v>211</v>
      </c>
      <c r="D33" s="185">
        <v>0.06</v>
      </c>
      <c r="E33" s="177" t="s">
        <v>24</v>
      </c>
      <c r="F33" s="323">
        <v>1</v>
      </c>
      <c r="G33" s="323" t="s">
        <v>204</v>
      </c>
      <c r="H33" s="323">
        <v>2</v>
      </c>
      <c r="I33" s="185">
        <f t="shared" si="1"/>
        <v>0.12</v>
      </c>
      <c r="J33" s="300"/>
      <c r="K33" s="300"/>
      <c r="L33" s="300"/>
      <c r="M33" s="300"/>
      <c r="N33" s="300"/>
      <c r="O33" s="299"/>
    </row>
    <row r="34" spans="1:15" s="298" customFormat="1" x14ac:dyDescent="0.25">
      <c r="A34" s="305">
        <v>50</v>
      </c>
      <c r="B34" s="177" t="s">
        <v>131</v>
      </c>
      <c r="C34" s="326" t="s">
        <v>210</v>
      </c>
      <c r="D34" s="185">
        <v>0.02</v>
      </c>
      <c r="E34" s="305" t="s">
        <v>133</v>
      </c>
      <c r="F34" s="323">
        <v>12.43</v>
      </c>
      <c r="G34" s="323" t="s">
        <v>204</v>
      </c>
      <c r="H34" s="323">
        <v>2</v>
      </c>
      <c r="I34" s="185">
        <f t="shared" si="1"/>
        <v>0.49719999999999998</v>
      </c>
      <c r="J34" s="301"/>
      <c r="K34" s="301"/>
      <c r="L34" s="301"/>
      <c r="M34" s="301"/>
      <c r="N34" s="301"/>
      <c r="O34" s="325"/>
    </row>
    <row r="35" spans="1:15" s="298" customFormat="1" x14ac:dyDescent="0.25">
      <c r="A35" s="305">
        <v>60</v>
      </c>
      <c r="B35" s="177" t="s">
        <v>113</v>
      </c>
      <c r="C35" s="326" t="s">
        <v>209</v>
      </c>
      <c r="D35" s="185">
        <v>0.02</v>
      </c>
      <c r="E35" s="305" t="s">
        <v>133</v>
      </c>
      <c r="F35" s="323">
        <v>12.43</v>
      </c>
      <c r="G35" s="323" t="s">
        <v>204</v>
      </c>
      <c r="H35" s="323">
        <v>2</v>
      </c>
      <c r="I35" s="185">
        <f t="shared" si="1"/>
        <v>0.49719999999999998</v>
      </c>
      <c r="J35" s="300"/>
      <c r="K35" s="300"/>
      <c r="L35" s="300"/>
      <c r="M35" s="300"/>
      <c r="N35" s="300"/>
      <c r="O35" s="299"/>
    </row>
    <row r="36" spans="1:15" s="298" customFormat="1" x14ac:dyDescent="0.25">
      <c r="A36" s="305">
        <v>70</v>
      </c>
      <c r="B36" s="177" t="s">
        <v>131</v>
      </c>
      <c r="C36" s="326" t="s">
        <v>132</v>
      </c>
      <c r="D36" s="185">
        <v>0.02</v>
      </c>
      <c r="E36" s="305" t="s">
        <v>133</v>
      </c>
      <c r="F36" s="323">
        <v>12.43</v>
      </c>
      <c r="G36" s="323" t="s">
        <v>204</v>
      </c>
      <c r="H36" s="323">
        <v>2</v>
      </c>
      <c r="I36" s="185">
        <f t="shared" si="1"/>
        <v>0.49719999999999998</v>
      </c>
      <c r="J36" s="301"/>
      <c r="K36" s="301"/>
      <c r="L36" s="301"/>
      <c r="M36" s="301"/>
      <c r="N36" s="301"/>
      <c r="O36" s="325"/>
    </row>
    <row r="37" spans="1:15" s="298" customFormat="1" x14ac:dyDescent="0.25">
      <c r="A37" s="305">
        <v>80</v>
      </c>
      <c r="B37" s="177" t="s">
        <v>197</v>
      </c>
      <c r="C37" s="324" t="s">
        <v>208</v>
      </c>
      <c r="D37" s="185">
        <v>0.14000000000000001</v>
      </c>
      <c r="E37" s="177" t="s">
        <v>24</v>
      </c>
      <c r="F37" s="323">
        <v>1</v>
      </c>
      <c r="G37" s="323" t="s">
        <v>204</v>
      </c>
      <c r="H37" s="323">
        <v>2</v>
      </c>
      <c r="I37" s="185">
        <f t="shared" si="1"/>
        <v>0.28000000000000003</v>
      </c>
      <c r="J37" s="321"/>
      <c r="K37" s="321"/>
      <c r="L37" s="321"/>
      <c r="M37" s="321"/>
      <c r="N37" s="321"/>
      <c r="O37" s="320"/>
    </row>
    <row r="38" spans="1:15" s="298" customFormat="1" x14ac:dyDescent="0.25">
      <c r="A38" s="305">
        <v>90</v>
      </c>
      <c r="B38" s="177" t="s">
        <v>131</v>
      </c>
      <c r="C38" s="326" t="s">
        <v>207</v>
      </c>
      <c r="D38" s="185">
        <v>0.02</v>
      </c>
      <c r="E38" s="305" t="s">
        <v>133</v>
      </c>
      <c r="F38" s="323">
        <v>12.43</v>
      </c>
      <c r="G38" s="323" t="s">
        <v>204</v>
      </c>
      <c r="H38" s="323">
        <v>2</v>
      </c>
      <c r="I38" s="185">
        <f t="shared" si="1"/>
        <v>0.49719999999999998</v>
      </c>
      <c r="J38" s="301"/>
      <c r="K38" s="301"/>
      <c r="L38" s="301"/>
      <c r="M38" s="301"/>
      <c r="N38" s="301"/>
      <c r="O38" s="325"/>
    </row>
    <row r="39" spans="1:15" s="298" customFormat="1" x14ac:dyDescent="0.25">
      <c r="A39" s="305">
        <v>100</v>
      </c>
      <c r="B39" s="177" t="s">
        <v>113</v>
      </c>
      <c r="C39" s="326" t="s">
        <v>206</v>
      </c>
      <c r="D39" s="185">
        <v>0.18</v>
      </c>
      <c r="E39" s="305" t="s">
        <v>133</v>
      </c>
      <c r="F39" s="323">
        <v>12.43</v>
      </c>
      <c r="G39" s="323" t="s">
        <v>204</v>
      </c>
      <c r="H39" s="323">
        <v>2</v>
      </c>
      <c r="I39" s="185">
        <f t="shared" si="1"/>
        <v>4.4748000000000001</v>
      </c>
      <c r="J39" s="321"/>
      <c r="K39" s="321"/>
      <c r="L39" s="321"/>
      <c r="M39" s="321"/>
      <c r="N39" s="321"/>
      <c r="O39" s="325"/>
    </row>
    <row r="40" spans="1:15" s="298" customFormat="1" x14ac:dyDescent="0.25">
      <c r="A40" s="305">
        <v>110</v>
      </c>
      <c r="B40" s="177" t="s">
        <v>131</v>
      </c>
      <c r="C40" s="326" t="s">
        <v>132</v>
      </c>
      <c r="D40" s="185">
        <v>0.02</v>
      </c>
      <c r="E40" s="305" t="s">
        <v>133</v>
      </c>
      <c r="F40" s="323">
        <v>12.43</v>
      </c>
      <c r="G40" s="323" t="s">
        <v>204</v>
      </c>
      <c r="H40" s="323">
        <v>2</v>
      </c>
      <c r="I40" s="185">
        <f t="shared" si="1"/>
        <v>0.49719999999999998</v>
      </c>
      <c r="J40" s="301"/>
      <c r="K40" s="301"/>
      <c r="L40" s="301"/>
      <c r="M40" s="301"/>
      <c r="N40" s="301"/>
      <c r="O40" s="325"/>
    </row>
    <row r="41" spans="1:15" s="298" customFormat="1" ht="30" x14ac:dyDescent="0.25">
      <c r="A41" s="305">
        <v>120</v>
      </c>
      <c r="B41" s="177" t="s">
        <v>197</v>
      </c>
      <c r="C41" s="324" t="s">
        <v>205</v>
      </c>
      <c r="D41" s="185">
        <v>0.22</v>
      </c>
      <c r="E41" s="177" t="s">
        <v>24</v>
      </c>
      <c r="F41" s="323">
        <v>1</v>
      </c>
      <c r="G41" s="323" t="s">
        <v>204</v>
      </c>
      <c r="H41" s="323">
        <v>2</v>
      </c>
      <c r="I41" s="185">
        <f t="shared" si="1"/>
        <v>0.44</v>
      </c>
      <c r="J41" s="321"/>
      <c r="K41" s="321"/>
      <c r="L41" s="321"/>
      <c r="M41" s="321"/>
      <c r="N41" s="321"/>
      <c r="O41" s="325"/>
    </row>
    <row r="42" spans="1:15" s="298" customFormat="1" x14ac:dyDescent="0.25">
      <c r="A42" s="305">
        <v>130</v>
      </c>
      <c r="B42" s="177" t="s">
        <v>131</v>
      </c>
      <c r="C42" s="326" t="s">
        <v>203</v>
      </c>
      <c r="D42" s="185">
        <v>0.02</v>
      </c>
      <c r="E42" s="305" t="s">
        <v>133</v>
      </c>
      <c r="F42" s="323">
        <v>4.01</v>
      </c>
      <c r="G42" s="323" t="s">
        <v>200</v>
      </c>
      <c r="H42" s="323">
        <v>3</v>
      </c>
      <c r="I42" s="185">
        <f t="shared" si="1"/>
        <v>0.24059999999999998</v>
      </c>
      <c r="J42" s="301"/>
      <c r="K42" s="301"/>
      <c r="L42" s="301"/>
      <c r="M42" s="301"/>
      <c r="N42" s="301"/>
      <c r="O42" s="325"/>
    </row>
    <row r="43" spans="1:15" s="298" customFormat="1" x14ac:dyDescent="0.25">
      <c r="A43" s="305">
        <v>140</v>
      </c>
      <c r="B43" s="263" t="s">
        <v>113</v>
      </c>
      <c r="C43" s="565" t="s">
        <v>202</v>
      </c>
      <c r="D43" s="548">
        <v>0.02</v>
      </c>
      <c r="E43" s="556" t="s">
        <v>133</v>
      </c>
      <c r="F43" s="563">
        <v>4.01</v>
      </c>
      <c r="G43" s="563" t="s">
        <v>200</v>
      </c>
      <c r="H43" s="563">
        <v>3</v>
      </c>
      <c r="I43" s="548">
        <f t="shared" si="1"/>
        <v>0.24059999999999998</v>
      </c>
      <c r="J43" s="321"/>
      <c r="K43" s="321"/>
      <c r="L43" s="321"/>
      <c r="M43" s="321"/>
      <c r="N43" s="321"/>
      <c r="O43" s="325"/>
    </row>
    <row r="44" spans="1:15" s="298" customFormat="1" x14ac:dyDescent="0.25">
      <c r="A44" s="556">
        <v>150</v>
      </c>
      <c r="B44" s="527" t="s">
        <v>197</v>
      </c>
      <c r="C44" s="565" t="s">
        <v>201</v>
      </c>
      <c r="D44" s="548">
        <v>0.3</v>
      </c>
      <c r="E44" s="527" t="s">
        <v>24</v>
      </c>
      <c r="F44" s="563">
        <v>1</v>
      </c>
      <c r="G44" s="563" t="s">
        <v>200</v>
      </c>
      <c r="H44" s="563">
        <v>3</v>
      </c>
      <c r="I44" s="548">
        <f t="shared" si="1"/>
        <v>0.89999999999999991</v>
      </c>
      <c r="J44" s="321"/>
      <c r="K44" s="321"/>
      <c r="L44" s="321"/>
      <c r="M44" s="321"/>
      <c r="N44" s="321"/>
      <c r="O44" s="325"/>
    </row>
    <row r="45" spans="1:15" s="298" customFormat="1" x14ac:dyDescent="0.25">
      <c r="A45" s="556">
        <v>160</v>
      </c>
      <c r="B45" s="556" t="s">
        <v>86</v>
      </c>
      <c r="C45" s="565" t="s">
        <v>199</v>
      </c>
      <c r="D45" s="548">
        <v>0.15</v>
      </c>
      <c r="E45" s="556" t="s">
        <v>133</v>
      </c>
      <c r="F45" s="563">
        <v>22</v>
      </c>
      <c r="G45" s="563"/>
      <c r="H45" s="562"/>
      <c r="I45" s="548">
        <f t="shared" si="1"/>
        <v>3.3</v>
      </c>
      <c r="J45" s="321"/>
      <c r="K45" s="321"/>
      <c r="L45" s="321"/>
      <c r="M45" s="321"/>
      <c r="N45" s="321"/>
      <c r="O45" s="325"/>
    </row>
    <row r="46" spans="1:15" s="298" customFormat="1" x14ac:dyDescent="0.25">
      <c r="A46" s="556">
        <v>170</v>
      </c>
      <c r="B46" s="527" t="s">
        <v>74</v>
      </c>
      <c r="C46" s="564" t="s">
        <v>198</v>
      </c>
      <c r="D46" s="548">
        <v>5.25</v>
      </c>
      <c r="E46" s="527" t="s">
        <v>156</v>
      </c>
      <c r="F46" s="563">
        <v>0.01</v>
      </c>
      <c r="G46" s="563"/>
      <c r="H46" s="562"/>
      <c r="I46" s="548">
        <f t="shared" si="1"/>
        <v>5.2499999999999998E-2</v>
      </c>
      <c r="J46" s="321"/>
      <c r="K46" s="321"/>
      <c r="L46" s="321"/>
      <c r="M46" s="327"/>
      <c r="N46" s="321"/>
      <c r="O46" s="325"/>
    </row>
    <row r="47" spans="1:15" s="298" customFormat="1" x14ac:dyDescent="0.25">
      <c r="A47" s="556">
        <v>180</v>
      </c>
      <c r="B47" s="556" t="s">
        <v>197</v>
      </c>
      <c r="C47" s="565" t="s">
        <v>196</v>
      </c>
      <c r="D47" s="548">
        <v>0.14000000000000001</v>
      </c>
      <c r="E47" s="556" t="s">
        <v>24</v>
      </c>
      <c r="F47" s="563">
        <v>1</v>
      </c>
      <c r="G47" s="563"/>
      <c r="H47" s="562"/>
      <c r="I47" s="548">
        <f t="shared" si="1"/>
        <v>0.14000000000000001</v>
      </c>
      <c r="J47" s="321"/>
      <c r="K47" s="321"/>
      <c r="L47" s="321"/>
      <c r="M47" s="321"/>
      <c r="N47" s="321"/>
      <c r="O47" s="325"/>
    </row>
    <row r="48" spans="1:15" s="298" customFormat="1" x14ac:dyDescent="0.25">
      <c r="A48" s="556">
        <v>190</v>
      </c>
      <c r="B48" s="527" t="s">
        <v>194</v>
      </c>
      <c r="C48" s="564" t="s">
        <v>195</v>
      </c>
      <c r="D48" s="548">
        <v>0.13</v>
      </c>
      <c r="E48" s="527" t="s">
        <v>24</v>
      </c>
      <c r="F48" s="563">
        <v>4</v>
      </c>
      <c r="G48" s="563"/>
      <c r="H48" s="562"/>
      <c r="I48" s="548">
        <f t="shared" si="1"/>
        <v>0.52</v>
      </c>
      <c r="J48" s="321"/>
      <c r="K48" s="321"/>
      <c r="L48" s="321"/>
      <c r="M48" s="321"/>
      <c r="N48" s="321"/>
      <c r="O48" s="325"/>
    </row>
    <row r="49" spans="1:15" s="298" customFormat="1" x14ac:dyDescent="0.25">
      <c r="A49" s="556">
        <v>200</v>
      </c>
      <c r="B49" s="527" t="s">
        <v>194</v>
      </c>
      <c r="C49" s="564" t="s">
        <v>193</v>
      </c>
      <c r="D49" s="548">
        <v>0.13</v>
      </c>
      <c r="E49" s="527" t="s">
        <v>24</v>
      </c>
      <c r="F49" s="563">
        <v>8</v>
      </c>
      <c r="G49" s="563"/>
      <c r="H49" s="562"/>
      <c r="I49" s="548">
        <f t="shared" si="1"/>
        <v>1.04</v>
      </c>
      <c r="J49" s="321"/>
      <c r="K49" s="321"/>
      <c r="L49" s="321"/>
      <c r="M49" s="321"/>
      <c r="N49" s="321"/>
      <c r="O49" s="325"/>
    </row>
    <row r="50" spans="1:15" s="298" customFormat="1" x14ac:dyDescent="0.25">
      <c r="A50" s="556">
        <v>210</v>
      </c>
      <c r="B50" s="556" t="s">
        <v>159</v>
      </c>
      <c r="C50" s="565" t="s">
        <v>192</v>
      </c>
      <c r="D50" s="548">
        <v>0.13</v>
      </c>
      <c r="E50" s="556" t="s">
        <v>24</v>
      </c>
      <c r="F50" s="563">
        <v>2</v>
      </c>
      <c r="G50" s="563"/>
      <c r="H50" s="562"/>
      <c r="I50" s="548">
        <f t="shared" si="1"/>
        <v>0.26</v>
      </c>
      <c r="J50" s="321"/>
      <c r="K50" s="321"/>
      <c r="L50" s="321"/>
      <c r="M50" s="321"/>
      <c r="N50" s="321"/>
      <c r="O50" s="325"/>
    </row>
    <row r="51" spans="1:15" s="298" customFormat="1" x14ac:dyDescent="0.25">
      <c r="A51" s="556">
        <v>220</v>
      </c>
      <c r="B51" s="527" t="s">
        <v>191</v>
      </c>
      <c r="C51" s="564" t="s">
        <v>190</v>
      </c>
      <c r="D51" s="548">
        <v>0.25</v>
      </c>
      <c r="E51" s="527" t="s">
        <v>24</v>
      </c>
      <c r="F51" s="563">
        <v>2</v>
      </c>
      <c r="G51" s="563"/>
      <c r="H51" s="562"/>
      <c r="I51" s="548">
        <f t="shared" si="1"/>
        <v>0.5</v>
      </c>
      <c r="J51" s="321"/>
      <c r="K51" s="321"/>
      <c r="L51" s="321"/>
      <c r="M51" s="321"/>
      <c r="N51" s="321"/>
      <c r="O51" s="320"/>
    </row>
    <row r="52" spans="1:15" x14ac:dyDescent="0.25">
      <c r="A52" s="93"/>
      <c r="B52" s="94"/>
      <c r="C52" s="94"/>
      <c r="D52" s="94"/>
      <c r="E52" s="94"/>
      <c r="F52" s="94"/>
      <c r="G52" s="94"/>
      <c r="H52" s="559" t="s">
        <v>20</v>
      </c>
      <c r="I52" s="558">
        <f>SUM(I30:I51)</f>
        <v>16.033700000000003</v>
      </c>
      <c r="J52" s="80"/>
      <c r="K52" s="80"/>
      <c r="L52" s="80"/>
      <c r="M52" s="80"/>
      <c r="N52" s="80"/>
      <c r="O52" s="84"/>
    </row>
    <row r="53" spans="1:15" x14ac:dyDescent="0.25">
      <c r="A53" s="88"/>
      <c r="B53" s="80"/>
      <c r="C53" s="80"/>
      <c r="D53" s="80"/>
      <c r="E53" s="80"/>
      <c r="F53" s="80"/>
      <c r="G53" s="80"/>
      <c r="H53" s="80"/>
      <c r="I53" s="80"/>
      <c r="J53" s="80"/>
      <c r="K53" s="80"/>
      <c r="L53" s="80"/>
      <c r="M53" s="80"/>
      <c r="N53" s="80"/>
      <c r="O53" s="84"/>
    </row>
    <row r="54" spans="1:15" x14ac:dyDescent="0.25">
      <c r="A54" s="561" t="s">
        <v>16</v>
      </c>
      <c r="B54" s="561" t="s">
        <v>30</v>
      </c>
      <c r="C54" s="561" t="s">
        <v>22</v>
      </c>
      <c r="D54" s="561" t="s">
        <v>23</v>
      </c>
      <c r="E54" s="561" t="s">
        <v>31</v>
      </c>
      <c r="F54" s="561" t="s">
        <v>32</v>
      </c>
      <c r="G54" s="561" t="s">
        <v>33</v>
      </c>
      <c r="H54" s="561" t="s">
        <v>34</v>
      </c>
      <c r="I54" s="561" t="s">
        <v>19</v>
      </c>
      <c r="J54" s="561" t="s">
        <v>20</v>
      </c>
      <c r="K54" s="80"/>
      <c r="L54" s="80"/>
      <c r="M54" s="80"/>
      <c r="N54" s="80"/>
      <c r="O54" s="84"/>
    </row>
    <row r="55" spans="1:15" x14ac:dyDescent="0.25">
      <c r="A55" s="89">
        <v>10</v>
      </c>
      <c r="B55" s="560" t="s">
        <v>108</v>
      </c>
      <c r="C55" s="89" t="s">
        <v>188</v>
      </c>
      <c r="D55" s="87">
        <f>0.8/105154*E55^2*G55*SQRT(G55)+(0.003*EXP(0.319*E55))</f>
        <v>0.16167651505774214</v>
      </c>
      <c r="E55" s="96">
        <v>8</v>
      </c>
      <c r="F55" s="560" t="s">
        <v>35</v>
      </c>
      <c r="G55" s="96">
        <v>40</v>
      </c>
      <c r="H55" s="560" t="s">
        <v>35</v>
      </c>
      <c r="I55" s="96">
        <v>2</v>
      </c>
      <c r="J55" s="87">
        <f>D55*I55</f>
        <v>0.32335303011548427</v>
      </c>
      <c r="K55" s="80"/>
      <c r="L55" s="80"/>
      <c r="M55" s="80"/>
      <c r="N55" s="80"/>
      <c r="O55" s="84"/>
    </row>
    <row r="56" spans="1:15" x14ac:dyDescent="0.25">
      <c r="A56" s="89">
        <v>20</v>
      </c>
      <c r="B56" s="560" t="s">
        <v>96</v>
      </c>
      <c r="C56" s="89" t="s">
        <v>186</v>
      </c>
      <c r="D56" s="87">
        <f>(0.009*EXP(0.2*E56))</f>
        <v>4.4577291819556032E-2</v>
      </c>
      <c r="E56" s="96">
        <v>8</v>
      </c>
      <c r="F56" s="560" t="s">
        <v>35</v>
      </c>
      <c r="G56" s="96"/>
      <c r="H56" s="560"/>
      <c r="I56" s="96">
        <v>2</v>
      </c>
      <c r="J56" s="87">
        <f>D56*I56</f>
        <v>8.9154583639112064E-2</v>
      </c>
      <c r="K56" s="80"/>
      <c r="L56" s="80"/>
      <c r="M56" s="80"/>
      <c r="N56" s="80"/>
      <c r="O56" s="84"/>
    </row>
    <row r="57" spans="1:15" x14ac:dyDescent="0.25">
      <c r="A57" s="89">
        <v>30</v>
      </c>
      <c r="B57" s="560" t="s">
        <v>109</v>
      </c>
      <c r="C57" s="89" t="s">
        <v>184</v>
      </c>
      <c r="D57" s="87">
        <v>0.01</v>
      </c>
      <c r="E57" s="96">
        <v>8</v>
      </c>
      <c r="F57" s="560" t="s">
        <v>35</v>
      </c>
      <c r="G57" s="96"/>
      <c r="H57" s="560"/>
      <c r="I57" s="96">
        <v>4</v>
      </c>
      <c r="J57" s="87">
        <f>D57*I57</f>
        <v>0.04</v>
      </c>
      <c r="K57" s="400"/>
      <c r="L57" s="400"/>
      <c r="M57" s="400"/>
      <c r="N57" s="400"/>
      <c r="O57" s="84"/>
    </row>
    <row r="58" spans="1:15" x14ac:dyDescent="0.25">
      <c r="A58" s="93"/>
      <c r="B58" s="94"/>
      <c r="C58" s="94"/>
      <c r="D58" s="94"/>
      <c r="E58" s="94"/>
      <c r="F58" s="94"/>
      <c r="G58" s="94"/>
      <c r="H58" s="94"/>
      <c r="I58" s="559" t="s">
        <v>20</v>
      </c>
      <c r="J58" s="558">
        <f>SUM(J55:J57)</f>
        <v>0.45250761375459631</v>
      </c>
      <c r="K58" s="80"/>
      <c r="L58" s="80"/>
      <c r="M58" s="80"/>
      <c r="N58" s="80"/>
      <c r="O58" s="84"/>
    </row>
    <row r="59" spans="1:15" x14ac:dyDescent="0.25">
      <c r="A59" s="88"/>
      <c r="B59" s="80"/>
      <c r="C59" s="80"/>
      <c r="D59" s="80"/>
      <c r="E59" s="80"/>
      <c r="F59" s="80"/>
      <c r="G59" s="80"/>
      <c r="H59" s="80"/>
      <c r="I59" s="80"/>
      <c r="J59" s="80"/>
      <c r="K59" s="80"/>
      <c r="L59" s="80"/>
      <c r="M59" s="80"/>
      <c r="N59" s="80"/>
      <c r="O59" s="84"/>
    </row>
    <row r="60" spans="1:15" s="298" customFormat="1" x14ac:dyDescent="0.25">
      <c r="A60" s="306" t="s">
        <v>16</v>
      </c>
      <c r="B60" s="306" t="s">
        <v>70</v>
      </c>
      <c r="C60" s="306" t="s">
        <v>22</v>
      </c>
      <c r="D60" s="306" t="s">
        <v>23</v>
      </c>
      <c r="E60" s="306" t="s">
        <v>24</v>
      </c>
      <c r="F60" s="306" t="s">
        <v>19</v>
      </c>
      <c r="G60" s="306" t="s">
        <v>69</v>
      </c>
      <c r="H60" s="306" t="s">
        <v>68</v>
      </c>
      <c r="I60" s="306" t="s">
        <v>20</v>
      </c>
      <c r="J60" s="301"/>
      <c r="K60" s="300"/>
      <c r="L60" s="300"/>
      <c r="M60" s="300"/>
      <c r="N60" s="300"/>
      <c r="O60" s="299"/>
    </row>
    <row r="61" spans="1:15" s="298" customFormat="1" x14ac:dyDescent="0.25">
      <c r="A61" s="556">
        <v>10</v>
      </c>
      <c r="B61" s="556" t="s">
        <v>67</v>
      </c>
      <c r="C61" s="556" t="s">
        <v>183</v>
      </c>
      <c r="D61" s="557">
        <v>500</v>
      </c>
      <c r="E61" s="556" t="s">
        <v>66</v>
      </c>
      <c r="F61" s="556">
        <f>8</f>
        <v>8</v>
      </c>
      <c r="G61" s="556">
        <v>3000</v>
      </c>
      <c r="H61" s="556">
        <v>1</v>
      </c>
      <c r="I61" s="535">
        <f>D61*F61/G61*H61</f>
        <v>1.3333333333333333</v>
      </c>
      <c r="J61" s="301"/>
      <c r="K61" s="300"/>
      <c r="L61" s="300"/>
      <c r="M61" s="300"/>
      <c r="N61" s="300"/>
      <c r="O61" s="299"/>
    </row>
    <row r="62" spans="1:15" s="298" customFormat="1" x14ac:dyDescent="0.25">
      <c r="A62" s="304"/>
      <c r="B62" s="301"/>
      <c r="C62" s="301"/>
      <c r="D62" s="301"/>
      <c r="E62" s="301"/>
      <c r="F62" s="301"/>
      <c r="G62" s="301"/>
      <c r="H62" s="303" t="s">
        <v>20</v>
      </c>
      <c r="I62" s="302">
        <f>SUM(I61:I61)</f>
        <v>1.3333333333333333</v>
      </c>
      <c r="J62" s="301"/>
      <c r="K62" s="300"/>
      <c r="L62" s="300"/>
      <c r="M62" s="300"/>
      <c r="N62" s="300"/>
      <c r="O62" s="299"/>
    </row>
    <row r="63" spans="1:15" ht="15.75" thickBot="1" x14ac:dyDescent="0.3">
      <c r="A63" s="97"/>
      <c r="B63" s="98"/>
      <c r="C63" s="98"/>
      <c r="D63" s="98"/>
      <c r="E63" s="98"/>
      <c r="F63" s="98"/>
      <c r="G63" s="98"/>
      <c r="H63" s="98"/>
      <c r="I63" s="98"/>
      <c r="J63" s="98"/>
      <c r="K63" s="98"/>
      <c r="L63" s="98"/>
      <c r="M63" s="98"/>
      <c r="N63" s="98"/>
      <c r="O63" s="99"/>
    </row>
    <row r="64" spans="1:15" x14ac:dyDescent="0.25">
      <c r="A64" s="105"/>
      <c r="B64" s="105"/>
      <c r="C64" s="105"/>
      <c r="D64" s="105"/>
      <c r="E64" s="105"/>
      <c r="F64" s="105"/>
      <c r="G64" s="105"/>
      <c r="H64" s="105"/>
      <c r="I64" s="105"/>
      <c r="J64" s="105"/>
      <c r="K64" s="105"/>
      <c r="L64" s="105"/>
      <c r="M64" s="105"/>
      <c r="N64" s="105"/>
    </row>
  </sheetData>
  <hyperlinks>
    <hyperlink ref="E2" location="SU_A0200_BOM" display="Back to BOM"/>
    <hyperlink ref="B15" location="SU_02006" display="SU_02006"/>
    <hyperlink ref="B13" location="SU_02004" display="SU_02004"/>
    <hyperlink ref="B12" location="SU_02003" display="SU_02003"/>
    <hyperlink ref="B11" location="SU_02002" display="SU_02002"/>
    <hyperlink ref="B16" location="SU_02007" display="SU_02007"/>
    <hyperlink ref="B14" location="SU_02005" display="SU_02005"/>
    <hyperlink ref="B11:B13" location="BR_01001" display="BR_01001"/>
    <hyperlink ref="B10" location="SU_02001" display="SU_02001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31496062992125984" right="0.31496062992125984" top="0.31496062992125984" bottom="0.39370078740157483" header="0.51181102362204722" footer="0.31496062992125984"/>
  <pageSetup paperSize="9" scale="64" firstPageNumber="0" fitToHeight="99" orientation="landscape" horizontalDpi="1200" verticalDpi="1200" r:id="rId1"/>
  <rowBreaks count="1" manualBreakCount="1">
    <brk id="63" max="16383" man="1"/>
  </row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topLeftCell="A13" zoomScale="106" zoomScaleNormal="106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26" style="103" customWidth="1"/>
    <col min="3" max="3" width="27.140625" style="103" customWidth="1"/>
    <col min="4" max="4" width="9.140625" style="103"/>
    <col min="5" max="5" width="7" style="103" customWidth="1"/>
    <col min="6" max="6" width="9.140625" style="103"/>
    <col min="7" max="7" width="11.42578125" style="103" customWidth="1"/>
    <col min="8" max="8" width="9.140625" style="103"/>
    <col min="9" max="9" width="13" style="103" customWidth="1"/>
    <col min="10" max="10" width="12.5703125" style="103" customWidth="1"/>
    <col min="11" max="14" width="9.140625" style="103"/>
    <col min="15" max="15" width="3.140625" style="103" customWidth="1"/>
    <col min="16" max="17" width="9.140625" style="103"/>
    <col min="18" max="19" width="16.28515625" style="103" bestFit="1" customWidth="1"/>
    <col min="20" max="16384" width="9.140625" style="103"/>
  </cols>
  <sheetData>
    <row r="1" spans="1:19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9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SU_02001_m+SU_02001_p</f>
        <v>9.1140000000000008</v>
      </c>
      <c r="O2" s="107"/>
    </row>
    <row r="3" spans="1:19" ht="14.45" x14ac:dyDescent="0.3">
      <c r="A3" s="377" t="s">
        <v>5</v>
      </c>
      <c r="B3" s="104" t="str">
        <f>'SU A0200'!B3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1</v>
      </c>
      <c r="O3" s="107"/>
    </row>
    <row r="4" spans="1:19" ht="14.45" x14ac:dyDescent="0.3">
      <c r="A4" s="377" t="s">
        <v>7</v>
      </c>
      <c r="B4" s="60" t="s">
        <v>265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9" ht="14.45" x14ac:dyDescent="0.3">
      <c r="A5" s="377" t="s">
        <v>17</v>
      </c>
      <c r="B5" s="108" t="s">
        <v>271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9.1140000000000008</v>
      </c>
      <c r="O5" s="107"/>
    </row>
    <row r="6" spans="1:19" ht="14.45" x14ac:dyDescent="0.3">
      <c r="A6" s="377" t="s">
        <v>9</v>
      </c>
      <c r="B6" s="109" t="s">
        <v>270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9" ht="14.45" x14ac:dyDescent="0.3">
      <c r="A7" s="377" t="s">
        <v>12</v>
      </c>
      <c r="B7" s="104"/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9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9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9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9" s="113" customFormat="1" ht="17.45" customHeight="1" x14ac:dyDescent="0.3">
      <c r="A11" s="598">
        <v>10</v>
      </c>
      <c r="B11" s="600" t="s">
        <v>146</v>
      </c>
      <c r="C11" s="598" t="s">
        <v>269</v>
      </c>
      <c r="D11" s="249">
        <v>4.2</v>
      </c>
      <c r="E11" s="599"/>
      <c r="F11" s="598"/>
      <c r="G11" s="598"/>
      <c r="H11" s="250"/>
      <c r="I11" s="597" t="s">
        <v>268</v>
      </c>
      <c r="J11" s="65">
        <f>64*56/1000000</f>
        <v>3.5839999999999999E-3</v>
      </c>
      <c r="K11" s="65">
        <v>1.6E-2</v>
      </c>
      <c r="L11" s="147">
        <v>2712</v>
      </c>
      <c r="M11" s="171">
        <v>1</v>
      </c>
      <c r="N11" s="167">
        <f>D11*M11</f>
        <v>4.2</v>
      </c>
      <c r="O11" s="112"/>
    </row>
    <row r="12" spans="1:19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4.2</v>
      </c>
      <c r="O12" s="107"/>
    </row>
    <row r="13" spans="1:19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  <c r="S13" s="364"/>
    </row>
    <row r="14" spans="1:19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  <c r="R14" s="364"/>
    </row>
    <row r="15" spans="1:19" s="589" customFormat="1" ht="28.9" x14ac:dyDescent="0.3">
      <c r="A15" s="210">
        <v>10</v>
      </c>
      <c r="B15" s="177" t="s">
        <v>81</v>
      </c>
      <c r="C15" s="594"/>
      <c r="D15" s="251">
        <v>1.3</v>
      </c>
      <c r="E15" s="177" t="s">
        <v>24</v>
      </c>
      <c r="F15" s="594">
        <v>1</v>
      </c>
      <c r="G15" s="594"/>
      <c r="H15" s="594"/>
      <c r="I15" s="593">
        <f t="shared" ref="I15:I22" si="0">IF(H15="",D15*F15,D15*F15*H15)</f>
        <v>1.3</v>
      </c>
      <c r="J15" s="217"/>
      <c r="K15" s="217"/>
      <c r="L15" s="217"/>
      <c r="M15" s="217"/>
      <c r="N15" s="217"/>
      <c r="O15" s="596"/>
    </row>
    <row r="16" spans="1:19" s="589" customFormat="1" ht="28.9" customHeight="1" x14ac:dyDescent="0.3">
      <c r="A16" s="196">
        <v>20</v>
      </c>
      <c r="B16" s="177" t="s">
        <v>80</v>
      </c>
      <c r="C16" s="215" t="s">
        <v>267</v>
      </c>
      <c r="D16" s="185">
        <v>0.04</v>
      </c>
      <c r="E16" s="196" t="s">
        <v>79</v>
      </c>
      <c r="F16" s="216">
        <v>30</v>
      </c>
      <c r="G16" s="177" t="s">
        <v>104</v>
      </c>
      <c r="H16" s="592">
        <v>1</v>
      </c>
      <c r="I16" s="186">
        <f t="shared" si="0"/>
        <v>1.2</v>
      </c>
      <c r="J16" s="219"/>
      <c r="K16" s="219"/>
      <c r="L16" s="219"/>
      <c r="M16" s="219"/>
      <c r="N16" s="219"/>
      <c r="O16" s="590"/>
    </row>
    <row r="17" spans="1:15" s="589" customFormat="1" ht="16.149999999999999" customHeight="1" x14ac:dyDescent="0.3">
      <c r="A17" s="210">
        <v>30</v>
      </c>
      <c r="B17" s="177" t="s">
        <v>87</v>
      </c>
      <c r="C17" s="594"/>
      <c r="D17" s="251">
        <v>0.65</v>
      </c>
      <c r="E17" s="177" t="s">
        <v>24</v>
      </c>
      <c r="F17" s="594">
        <v>1</v>
      </c>
      <c r="G17" s="594"/>
      <c r="H17" s="594"/>
      <c r="I17" s="593">
        <f t="shared" si="0"/>
        <v>0.65</v>
      </c>
      <c r="J17" s="220"/>
      <c r="K17" s="220"/>
      <c r="L17" s="220"/>
      <c r="M17" s="220"/>
      <c r="N17" s="220"/>
      <c r="O17" s="595"/>
    </row>
    <row r="18" spans="1:15" s="589" customFormat="1" ht="32.450000000000003" customHeight="1" x14ac:dyDescent="0.3">
      <c r="A18" s="196">
        <v>40</v>
      </c>
      <c r="B18" s="177" t="s">
        <v>80</v>
      </c>
      <c r="C18" s="215" t="s">
        <v>226</v>
      </c>
      <c r="D18" s="185">
        <v>0.04</v>
      </c>
      <c r="E18" s="196" t="s">
        <v>79</v>
      </c>
      <c r="F18" s="216">
        <v>2.2999999999999998</v>
      </c>
      <c r="G18" s="177" t="s">
        <v>104</v>
      </c>
      <c r="H18" s="592">
        <v>1</v>
      </c>
      <c r="I18" s="186">
        <f t="shared" si="0"/>
        <v>9.1999999999999998E-2</v>
      </c>
      <c r="J18" s="219"/>
      <c r="K18" s="219"/>
      <c r="L18" s="219"/>
      <c r="M18" s="219"/>
      <c r="N18" s="219"/>
      <c r="O18" s="590"/>
    </row>
    <row r="19" spans="1:15" s="589" customFormat="1" ht="15.6" customHeight="1" x14ac:dyDescent="0.3">
      <c r="A19" s="210">
        <v>50</v>
      </c>
      <c r="B19" s="177" t="s">
        <v>87</v>
      </c>
      <c r="C19" s="594"/>
      <c r="D19" s="251">
        <v>0.65</v>
      </c>
      <c r="E19" s="177" t="s">
        <v>24</v>
      </c>
      <c r="F19" s="594">
        <v>1</v>
      </c>
      <c r="G19" s="594"/>
      <c r="H19" s="594"/>
      <c r="I19" s="593">
        <f t="shared" si="0"/>
        <v>0.65</v>
      </c>
      <c r="J19" s="219"/>
      <c r="K19" s="219"/>
      <c r="L19" s="219"/>
      <c r="M19" s="219"/>
      <c r="N19" s="219"/>
      <c r="O19" s="590"/>
    </row>
    <row r="20" spans="1:15" s="589" customFormat="1" ht="28.15" customHeight="1" x14ac:dyDescent="0.3">
      <c r="A20" s="196">
        <v>60</v>
      </c>
      <c r="B20" s="177" t="s">
        <v>80</v>
      </c>
      <c r="C20" s="215" t="s">
        <v>225</v>
      </c>
      <c r="D20" s="185">
        <v>0.04</v>
      </c>
      <c r="E20" s="196" t="s">
        <v>79</v>
      </c>
      <c r="F20" s="216">
        <v>2.2999999999999998</v>
      </c>
      <c r="G20" s="177" t="s">
        <v>104</v>
      </c>
      <c r="H20" s="592">
        <v>1</v>
      </c>
      <c r="I20" s="186">
        <f t="shared" si="0"/>
        <v>9.1999999999999998E-2</v>
      </c>
      <c r="J20" s="219"/>
      <c r="K20" s="219"/>
      <c r="L20" s="219"/>
      <c r="M20" s="219"/>
      <c r="N20" s="219"/>
      <c r="O20" s="590"/>
    </row>
    <row r="21" spans="1:15" s="589" customFormat="1" ht="18" customHeight="1" x14ac:dyDescent="0.3">
      <c r="A21" s="210">
        <v>70</v>
      </c>
      <c r="B21" s="177" t="s">
        <v>87</v>
      </c>
      <c r="C21" s="594"/>
      <c r="D21" s="251">
        <v>0.65</v>
      </c>
      <c r="E21" s="177" t="s">
        <v>24</v>
      </c>
      <c r="F21" s="594">
        <v>1</v>
      </c>
      <c r="G21" s="594"/>
      <c r="H21" s="594"/>
      <c r="I21" s="593">
        <f t="shared" si="0"/>
        <v>0.65</v>
      </c>
      <c r="J21" s="213"/>
      <c r="K21" s="213"/>
      <c r="L21" s="213"/>
      <c r="M21" s="213"/>
      <c r="N21" s="213"/>
      <c r="O21" s="590"/>
    </row>
    <row r="22" spans="1:15" s="589" customFormat="1" ht="27.6" customHeight="1" x14ac:dyDescent="0.3">
      <c r="A22" s="196">
        <v>80</v>
      </c>
      <c r="B22" s="177" t="s">
        <v>80</v>
      </c>
      <c r="C22" s="215" t="s">
        <v>266</v>
      </c>
      <c r="D22" s="185">
        <v>0.04</v>
      </c>
      <c r="E22" s="196" t="s">
        <v>79</v>
      </c>
      <c r="F22" s="216">
        <v>7</v>
      </c>
      <c r="G22" s="177" t="s">
        <v>104</v>
      </c>
      <c r="H22" s="592">
        <v>1</v>
      </c>
      <c r="I22" s="186">
        <f t="shared" si="0"/>
        <v>0.28000000000000003</v>
      </c>
      <c r="J22" s="591"/>
      <c r="K22" s="219"/>
      <c r="L22" s="219"/>
      <c r="M22" s="219"/>
      <c r="N22" s="219"/>
      <c r="O22" s="590"/>
    </row>
    <row r="23" spans="1:15" ht="14.45" x14ac:dyDescent="0.3">
      <c r="A23" s="114"/>
      <c r="B23" s="115"/>
      <c r="C23" s="115"/>
      <c r="D23" s="115"/>
      <c r="E23" s="115"/>
      <c r="F23" s="115"/>
      <c r="G23" s="115"/>
      <c r="H23" s="359" t="s">
        <v>20</v>
      </c>
      <c r="I23" s="358">
        <f>SUM(I15:I22)</f>
        <v>4.9140000000000006</v>
      </c>
      <c r="J23" s="115"/>
      <c r="K23" s="115"/>
      <c r="L23" s="115"/>
      <c r="M23" s="115"/>
      <c r="N23" s="115"/>
      <c r="O23" s="107"/>
    </row>
    <row r="24" spans="1:15" thickBot="1" x14ac:dyDescent="0.35">
      <c r="A24" s="118"/>
      <c r="B24" s="119"/>
      <c r="C24" s="119"/>
      <c r="D24" s="119"/>
      <c r="E24" s="119"/>
      <c r="F24" s="119"/>
      <c r="G24" s="119"/>
      <c r="H24" s="119"/>
      <c r="I24" s="119"/>
      <c r="J24" s="119"/>
      <c r="K24" s="119"/>
      <c r="L24" s="119"/>
      <c r="M24" s="119"/>
      <c r="N24" s="119"/>
      <c r="O24" s="120"/>
    </row>
  </sheetData>
  <hyperlinks>
    <hyperlink ref="E3" location="dSU_02001" display="Drawing"/>
    <hyperlink ref="B4" location="SU_A0200" display="Lower Front A-arm"/>
    <hyperlink ref="G2" location="SU_A0200_BOM" display="Back to BOM"/>
  </hyperlinks>
  <pageMargins left="0.31496062992125984" right="0.31496062992125984" top="0.31496062992125984" bottom="0.39370078740157483" header="0.51181102362204722" footer="0.31496062992125984"/>
  <pageSetup paperSize="9" scale="82" firstPageNumber="0" fitToHeight="99" orientation="landscape" horizontalDpi="1200" verticalDpi="1200" r:id="rId1"/>
  <rowBreaks count="2" manualBreakCount="2">
    <brk id="24" max="16383" man="1"/>
    <brk id="58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89</v>
      </c>
      <c r="B1" s="60" t="str">
        <f>SU_01001</f>
        <v>SU_01001</v>
      </c>
    </row>
  </sheetData>
  <hyperlinks>
    <hyperlink ref="B1" location="SU_02001" display="SU_0200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70" zoomScaleNormal="70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113"/>
    <col min="2" max="2" width="34.7109375" style="113" customWidth="1"/>
    <col min="3" max="3" width="19.85546875" style="113" customWidth="1"/>
    <col min="4" max="6" width="11.42578125" style="113"/>
    <col min="7" max="7" width="25.7109375" style="113" customWidth="1"/>
    <col min="8" max="8" width="11.42578125" style="113"/>
    <col min="9" max="9" width="21.42578125" style="113" customWidth="1"/>
    <col min="10" max="17" width="11.42578125" style="113"/>
    <col min="18" max="18" width="13.85546875" style="113" bestFit="1" customWidth="1"/>
    <col min="19" max="16384" width="11.42578125" style="113"/>
  </cols>
  <sheetData>
    <row r="1" spans="1:19" ht="14.4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ht="14.45" x14ac:dyDescent="0.3">
      <c r="A2" s="394" t="s">
        <v>0</v>
      </c>
      <c r="B2" s="155" t="s">
        <v>1</v>
      </c>
      <c r="C2" s="117"/>
      <c r="D2" s="117"/>
      <c r="E2" s="117"/>
      <c r="F2" s="117"/>
      <c r="G2" s="156" t="s">
        <v>2</v>
      </c>
      <c r="H2" s="117"/>
      <c r="I2" s="117"/>
      <c r="J2" s="379" t="s">
        <v>3</v>
      </c>
      <c r="K2" s="106">
        <v>81</v>
      </c>
      <c r="L2" s="117"/>
      <c r="M2" s="394" t="s">
        <v>18</v>
      </c>
      <c r="N2" s="46">
        <f>N12+I21</f>
        <v>1.8728805440000003</v>
      </c>
      <c r="O2" s="112"/>
    </row>
    <row r="3" spans="1:19" ht="14.45" x14ac:dyDescent="0.3">
      <c r="A3" s="394" t="s">
        <v>5</v>
      </c>
      <c r="B3" s="155" t="str">
        <f>'SU A0200'!B3</f>
        <v>Suspension &amp; Shocks</v>
      </c>
      <c r="C3" s="117"/>
      <c r="D3" s="394" t="s">
        <v>8</v>
      </c>
      <c r="E3" s="396" t="s">
        <v>84</v>
      </c>
      <c r="F3" s="117"/>
      <c r="G3" s="117"/>
      <c r="H3" s="117"/>
      <c r="I3" s="117"/>
      <c r="J3" s="117"/>
      <c r="K3" s="117"/>
      <c r="L3" s="117"/>
      <c r="M3" s="394" t="s">
        <v>6</v>
      </c>
      <c r="N3" s="47">
        <v>2</v>
      </c>
      <c r="O3" s="112"/>
    </row>
    <row r="4" spans="1:19" ht="14.45" x14ac:dyDescent="0.3">
      <c r="A4" s="394" t="s">
        <v>7</v>
      </c>
      <c r="B4" s="156" t="s">
        <v>265</v>
      </c>
      <c r="C4" s="117"/>
      <c r="D4" s="394" t="s">
        <v>10</v>
      </c>
      <c r="E4" s="117"/>
      <c r="F4" s="117"/>
      <c r="G4" s="117"/>
      <c r="H4" s="117"/>
      <c r="I4" s="117"/>
      <c r="J4" s="395" t="s">
        <v>8</v>
      </c>
      <c r="K4" s="117"/>
      <c r="L4" s="117"/>
      <c r="M4" s="117"/>
      <c r="N4" s="117"/>
      <c r="O4" s="112"/>
    </row>
    <row r="5" spans="1:19" ht="14.45" x14ac:dyDescent="0.3">
      <c r="A5" s="394" t="s">
        <v>17</v>
      </c>
      <c r="B5" s="71" t="s">
        <v>238</v>
      </c>
      <c r="C5" s="117"/>
      <c r="D5" s="394" t="s">
        <v>14</v>
      </c>
      <c r="E5" s="117"/>
      <c r="F5" s="117"/>
      <c r="G5" s="117"/>
      <c r="H5" s="117"/>
      <c r="I5" s="117"/>
      <c r="J5" s="395" t="s">
        <v>10</v>
      </c>
      <c r="K5" s="117"/>
      <c r="L5" s="117"/>
      <c r="M5" s="394" t="s">
        <v>11</v>
      </c>
      <c r="N5" s="46">
        <f>N3*N2</f>
        <v>3.7457610880000005</v>
      </c>
      <c r="O5" s="112"/>
    </row>
    <row r="6" spans="1:19" ht="14.45" x14ac:dyDescent="0.3">
      <c r="A6" s="394" t="s">
        <v>9</v>
      </c>
      <c r="B6" s="109" t="s">
        <v>272</v>
      </c>
      <c r="C6" s="117"/>
      <c r="D6" s="117"/>
      <c r="E6" s="117"/>
      <c r="F6" s="117"/>
      <c r="G6" s="117"/>
      <c r="H6" s="117"/>
      <c r="I6" s="117"/>
      <c r="J6" s="395" t="s">
        <v>14</v>
      </c>
      <c r="K6" s="117"/>
      <c r="L6" s="117"/>
      <c r="M6" s="117"/>
      <c r="N6" s="117"/>
      <c r="O6" s="112"/>
    </row>
    <row r="7" spans="1:19" ht="14.45" x14ac:dyDescent="0.3">
      <c r="A7" s="394" t="s">
        <v>12</v>
      </c>
      <c r="B7" s="155"/>
      <c r="C7" s="117"/>
      <c r="D7" s="117"/>
      <c r="E7" s="117"/>
      <c r="F7" s="117"/>
      <c r="G7" s="117"/>
      <c r="H7" s="117"/>
      <c r="I7" s="117"/>
      <c r="J7" s="117"/>
      <c r="K7" s="117"/>
      <c r="L7" s="117"/>
      <c r="M7" s="117"/>
      <c r="N7" s="117"/>
      <c r="O7" s="112"/>
    </row>
    <row r="8" spans="1:19" ht="14.45" x14ac:dyDescent="0.3">
      <c r="A8" s="394" t="s">
        <v>15</v>
      </c>
      <c r="B8" s="155"/>
      <c r="C8" s="117"/>
      <c r="D8" s="117"/>
      <c r="E8" s="117"/>
      <c r="F8" s="117"/>
      <c r="G8" s="117"/>
      <c r="H8" s="117"/>
      <c r="I8" s="117"/>
      <c r="J8" s="117"/>
      <c r="K8" s="117"/>
      <c r="L8" s="117"/>
      <c r="M8" s="117"/>
      <c r="N8" s="117"/>
      <c r="O8" s="112"/>
    </row>
    <row r="9" spans="1:19" ht="14.45" x14ac:dyDescent="0.3">
      <c r="A9" s="393"/>
      <c r="B9" s="392"/>
      <c r="C9" s="392"/>
      <c r="D9" s="392"/>
      <c r="E9" s="392"/>
      <c r="F9" s="117"/>
      <c r="G9" s="117"/>
      <c r="H9" s="117"/>
      <c r="I9" s="117"/>
      <c r="J9" s="117"/>
      <c r="K9" s="117"/>
      <c r="L9" s="117"/>
      <c r="M9" s="117"/>
      <c r="N9" s="117"/>
      <c r="O9" s="112"/>
    </row>
    <row r="10" spans="1:19" ht="14.45" x14ac:dyDescent="0.3">
      <c r="A10" s="391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12"/>
    </row>
    <row r="11" spans="1:19" ht="14.45" x14ac:dyDescent="0.3">
      <c r="A11" s="374">
        <v>10</v>
      </c>
      <c r="B11" s="337" t="s">
        <v>229</v>
      </c>
      <c r="C11" s="373" t="s">
        <v>99</v>
      </c>
      <c r="D11" s="167">
        <f>4.2</f>
        <v>4.2</v>
      </c>
      <c r="E11" s="389">
        <f>J11*K11*L11</f>
        <v>0.20437632</v>
      </c>
      <c r="F11" s="373" t="s">
        <v>153</v>
      </c>
      <c r="G11" s="373"/>
      <c r="H11" s="168"/>
      <c r="I11" s="372" t="s">
        <v>236</v>
      </c>
      <c r="J11" s="65">
        <f>3.14*20*20/1000000</f>
        <v>1.256E-3</v>
      </c>
      <c r="K11" s="388">
        <v>0.06</v>
      </c>
      <c r="L11" s="147">
        <v>2712</v>
      </c>
      <c r="M11" s="175">
        <v>1</v>
      </c>
      <c r="N11" s="167">
        <f>D11*E11*M11</f>
        <v>0.85838054400000008</v>
      </c>
      <c r="O11" s="112"/>
    </row>
    <row r="12" spans="1:19" ht="14.45" x14ac:dyDescent="0.3">
      <c r="A12" s="159"/>
      <c r="B12" s="160"/>
      <c r="C12" s="160"/>
      <c r="D12" s="160"/>
      <c r="E12" s="160"/>
      <c r="F12" s="160"/>
      <c r="G12" s="160"/>
      <c r="H12" s="160"/>
      <c r="I12" s="160"/>
      <c r="J12" s="160"/>
      <c r="K12" s="160"/>
      <c r="L12" s="160"/>
      <c r="M12" s="371" t="s">
        <v>20</v>
      </c>
      <c r="N12" s="380">
        <f>SUM(N11:N11)</f>
        <v>0.85838054400000008</v>
      </c>
      <c r="O12" s="112"/>
    </row>
    <row r="13" spans="1:19" ht="14.45" x14ac:dyDescent="0.3">
      <c r="A13" s="158"/>
      <c r="B13" s="117"/>
      <c r="C13" s="117"/>
      <c r="D13" s="117"/>
      <c r="E13" s="117"/>
      <c r="F13" s="117"/>
      <c r="G13" s="117"/>
      <c r="H13" s="117"/>
      <c r="I13" s="117"/>
      <c r="J13" s="117"/>
      <c r="K13" s="117"/>
      <c r="L13" s="117"/>
      <c r="M13" s="117"/>
      <c r="N13" s="117"/>
      <c r="O13" s="112"/>
      <c r="R13" s="384"/>
      <c r="S13" s="384"/>
    </row>
    <row r="14" spans="1:19" ht="14.45" x14ac:dyDescent="0.3">
      <c r="A14" s="387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60"/>
      <c r="K14" s="160"/>
      <c r="L14" s="160"/>
      <c r="M14" s="160"/>
      <c r="N14" s="160"/>
      <c r="O14" s="112"/>
      <c r="R14" s="384"/>
    </row>
    <row r="15" spans="1:19" ht="14.45" x14ac:dyDescent="0.3">
      <c r="A15" s="331">
        <v>10</v>
      </c>
      <c r="B15" s="381" t="s">
        <v>81</v>
      </c>
      <c r="C15" s="331"/>
      <c r="D15" s="205">
        <v>1.3</v>
      </c>
      <c r="E15" s="381" t="s">
        <v>24</v>
      </c>
      <c r="F15" s="331">
        <v>1</v>
      </c>
      <c r="G15" s="331" t="s">
        <v>233</v>
      </c>
      <c r="H15" s="331">
        <f>1/16</f>
        <v>6.25E-2</v>
      </c>
      <c r="I15" s="230">
        <f t="shared" ref="I15:I20" si="0">IF(H15="",D15*F15,D15*F15*H15)</f>
        <v>8.1250000000000003E-2</v>
      </c>
      <c r="J15" s="117"/>
      <c r="K15" s="117"/>
      <c r="L15" s="117"/>
      <c r="M15" s="117"/>
      <c r="N15" s="117"/>
      <c r="O15" s="112"/>
      <c r="R15" s="384"/>
    </row>
    <row r="16" spans="1:19" ht="28.15" customHeight="1" x14ac:dyDescent="0.3">
      <c r="A16" s="383">
        <v>20</v>
      </c>
      <c r="B16" s="381" t="s">
        <v>80</v>
      </c>
      <c r="C16" s="383" t="s">
        <v>235</v>
      </c>
      <c r="D16" s="205">
        <v>0.04</v>
      </c>
      <c r="E16" s="383" t="s">
        <v>79</v>
      </c>
      <c r="F16" s="382">
        <v>17</v>
      </c>
      <c r="G16" s="381" t="s">
        <v>104</v>
      </c>
      <c r="H16" s="331">
        <v>1</v>
      </c>
      <c r="I16" s="230">
        <f t="shared" si="0"/>
        <v>0.68</v>
      </c>
      <c r="J16" s="117"/>
      <c r="K16" s="117"/>
      <c r="L16" s="117"/>
      <c r="M16" s="117"/>
      <c r="N16" s="117"/>
      <c r="O16" s="112"/>
      <c r="R16" s="384"/>
    </row>
    <row r="17" spans="1:19" ht="14.45" x14ac:dyDescent="0.3">
      <c r="A17" s="331">
        <v>30</v>
      </c>
      <c r="B17" s="381" t="s">
        <v>87</v>
      </c>
      <c r="C17" s="331"/>
      <c r="D17" s="205">
        <v>0.65</v>
      </c>
      <c r="E17" s="381" t="s">
        <v>24</v>
      </c>
      <c r="F17" s="331">
        <v>1</v>
      </c>
      <c r="G17" s="331" t="s">
        <v>233</v>
      </c>
      <c r="H17" s="331">
        <f>1/16</f>
        <v>6.25E-2</v>
      </c>
      <c r="I17" s="230">
        <f t="shared" si="0"/>
        <v>4.0625000000000001E-2</v>
      </c>
      <c r="J17" s="157"/>
      <c r="K17" s="157"/>
      <c r="L17" s="157"/>
      <c r="M17" s="157"/>
      <c r="N17" s="157"/>
      <c r="O17" s="161"/>
      <c r="P17" s="162"/>
      <c r="Q17" s="162"/>
      <c r="R17" s="385"/>
      <c r="S17" s="162"/>
    </row>
    <row r="18" spans="1:19" ht="15.6" customHeight="1" x14ac:dyDescent="0.3">
      <c r="A18" s="383">
        <v>40</v>
      </c>
      <c r="B18" s="381" t="s">
        <v>80</v>
      </c>
      <c r="C18" s="383" t="s">
        <v>234</v>
      </c>
      <c r="D18" s="205">
        <v>0.04</v>
      </c>
      <c r="E18" s="383" t="s">
        <v>79</v>
      </c>
      <c r="F18" s="382">
        <v>2</v>
      </c>
      <c r="G18" s="381" t="s">
        <v>104</v>
      </c>
      <c r="H18" s="331">
        <v>1</v>
      </c>
      <c r="I18" s="230">
        <f t="shared" si="0"/>
        <v>0.08</v>
      </c>
      <c r="J18" s="117"/>
      <c r="K18" s="117"/>
      <c r="L18" s="117"/>
      <c r="M18" s="117"/>
      <c r="N18" s="117"/>
      <c r="O18" s="112"/>
      <c r="R18" s="384"/>
    </row>
    <row r="19" spans="1:19" ht="14.45" x14ac:dyDescent="0.3">
      <c r="A19" s="331">
        <v>50</v>
      </c>
      <c r="B19" s="381" t="s">
        <v>87</v>
      </c>
      <c r="C19" s="331"/>
      <c r="D19" s="205">
        <v>0.65</v>
      </c>
      <c r="E19" s="381" t="s">
        <v>24</v>
      </c>
      <c r="F19" s="331">
        <v>1</v>
      </c>
      <c r="G19" s="331" t="s">
        <v>233</v>
      </c>
      <c r="H19" s="331">
        <f>1/16</f>
        <v>6.25E-2</v>
      </c>
      <c r="I19" s="230">
        <f t="shared" si="0"/>
        <v>4.0625000000000001E-2</v>
      </c>
      <c r="J19" s="117"/>
      <c r="K19" s="117"/>
      <c r="L19" s="117"/>
      <c r="M19" s="117"/>
      <c r="N19" s="117"/>
      <c r="O19" s="112"/>
      <c r="R19" s="384"/>
    </row>
    <row r="20" spans="1:19" ht="14.45" customHeight="1" x14ac:dyDescent="0.3">
      <c r="A20" s="383">
        <v>60</v>
      </c>
      <c r="B20" s="381" t="s">
        <v>80</v>
      </c>
      <c r="C20" s="383" t="s">
        <v>232</v>
      </c>
      <c r="D20" s="205">
        <v>0.04</v>
      </c>
      <c r="E20" s="383" t="s">
        <v>79</v>
      </c>
      <c r="F20" s="382">
        <v>2.2999999999999998</v>
      </c>
      <c r="G20" s="381" t="s">
        <v>104</v>
      </c>
      <c r="H20" s="331">
        <v>1</v>
      </c>
      <c r="I20" s="230">
        <f t="shared" si="0"/>
        <v>9.1999999999999998E-2</v>
      </c>
      <c r="J20" s="117"/>
      <c r="K20" s="117"/>
      <c r="L20" s="117"/>
      <c r="M20" s="117"/>
      <c r="N20" s="117"/>
      <c r="O20" s="112"/>
    </row>
    <row r="21" spans="1:19" ht="14.45" x14ac:dyDescent="0.3">
      <c r="A21" s="159"/>
      <c r="B21" s="160"/>
      <c r="C21" s="160"/>
      <c r="D21" s="160"/>
      <c r="E21" s="160"/>
      <c r="F21" s="160"/>
      <c r="G21" s="160"/>
      <c r="H21" s="359" t="s">
        <v>20</v>
      </c>
      <c r="I21" s="380">
        <f>SUM(I15:I20)</f>
        <v>1.0145000000000002</v>
      </c>
      <c r="J21" s="160"/>
      <c r="K21" s="160"/>
      <c r="L21" s="160"/>
      <c r="M21" s="160"/>
      <c r="N21" s="160"/>
      <c r="O21" s="112"/>
    </row>
    <row r="22" spans="1:19" thickBot="1" x14ac:dyDescent="0.35">
      <c r="A22" s="163"/>
      <c r="B22" s="164"/>
      <c r="C22" s="164"/>
      <c r="D22" s="164"/>
      <c r="E22" s="164"/>
      <c r="F22" s="164"/>
      <c r="G22" s="164"/>
      <c r="H22" s="164"/>
      <c r="I22" s="164"/>
      <c r="J22" s="164"/>
      <c r="K22" s="164"/>
      <c r="L22" s="164"/>
      <c r="M22" s="164"/>
      <c r="N22" s="164"/>
      <c r="O22" s="165"/>
    </row>
  </sheetData>
  <hyperlinks>
    <hyperlink ref="B4" location="SU_A0200" display="Lower Front A-arm"/>
    <hyperlink ref="E3" location="dSU_02002" display="Drawing"/>
    <hyperlink ref="G2" location="SU_A0200_BOM" display="Back to BOM"/>
  </hyperlinks>
  <pageMargins left="0.31496062992125984" right="0.31496062992125984" top="0.31496062992125984" bottom="0.39370078740157483" header="0.51181102362204722" footer="0.31496062992125984"/>
  <pageSetup paperSize="9" scale="62" fitToHeight="99" orientation="landscape" horizontalDpi="1200" verticalDpi="1200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="106" zoomScaleNormal="106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8.85546875" style="103" customWidth="1"/>
    <col min="2" max="16384" width="11.5703125" style="103"/>
  </cols>
  <sheetData>
    <row r="1" spans="1:2" x14ac:dyDescent="0.3">
      <c r="A1" s="103" t="s">
        <v>89</v>
      </c>
      <c r="B1" s="60" t="s">
        <v>273</v>
      </c>
    </row>
    <row r="6" spans="1:2" x14ac:dyDescent="0.3">
      <c r="B6" s="397"/>
    </row>
  </sheetData>
  <hyperlinks>
    <hyperlink ref="B1" location="SU_02002!B5" display="SU_01002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5" zoomScaleNormal="85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9.42578125" style="103" customWidth="1"/>
    <col min="3" max="3" width="33" style="103" customWidth="1"/>
    <col min="4" max="4" width="11.5703125" style="103"/>
    <col min="5" max="5" width="17" style="103" customWidth="1"/>
    <col min="6" max="16384" width="11.57031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N12+I16</f>
        <v>11.220746039999998</v>
      </c>
      <c r="O2" s="107"/>
    </row>
    <row r="3" spans="1:15" ht="14.45" x14ac:dyDescent="0.3">
      <c r="A3" s="377" t="s">
        <v>5</v>
      </c>
      <c r="B3" s="104" t="str">
        <f>'SU A0200'!B3</f>
        <v>Suspension &amp; Shocks</v>
      </c>
      <c r="C3" s="105"/>
      <c r="D3" s="377" t="s">
        <v>8</v>
      </c>
      <c r="E3" s="103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1</v>
      </c>
      <c r="O3" s="107"/>
    </row>
    <row r="4" spans="1:15" ht="14.45" x14ac:dyDescent="0.3">
      <c r="A4" s="377" t="s">
        <v>7</v>
      </c>
      <c r="B4" s="58" t="s">
        <v>265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5" ht="14.45" x14ac:dyDescent="0.3">
      <c r="A5" s="377" t="s">
        <v>17</v>
      </c>
      <c r="B5" s="71" t="s">
        <v>275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11.220746039999998</v>
      </c>
      <c r="O5" s="107"/>
    </row>
    <row r="6" spans="1:15" ht="14.45" x14ac:dyDescent="0.3">
      <c r="A6" s="377" t="s">
        <v>9</v>
      </c>
      <c r="B6" s="109" t="s">
        <v>274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5" ht="14.45" x14ac:dyDescent="0.3">
      <c r="A7" s="377" t="s">
        <v>12</v>
      </c>
      <c r="B7" s="104"/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5" ht="14.45" x14ac:dyDescent="0.3">
      <c r="A11" s="374">
        <v>10</v>
      </c>
      <c r="B11" s="427" t="s">
        <v>118</v>
      </c>
      <c r="C11" s="428" t="s">
        <v>119</v>
      </c>
      <c r="D11" s="413">
        <f>200*E11*L11</f>
        <v>9.9739964799999985</v>
      </c>
      <c r="E11" s="602">
        <f>J11*K11</f>
        <v>3.1563279999999995E-5</v>
      </c>
      <c r="F11" s="373" t="s">
        <v>240</v>
      </c>
      <c r="G11" s="373"/>
      <c r="H11" s="168"/>
      <c r="I11" s="372" t="s">
        <v>239</v>
      </c>
      <c r="J11" s="65">
        <f>3.14*(0.008*0.008-0.006*0.006)</f>
        <v>8.7919999999999985E-5</v>
      </c>
      <c r="K11" s="65">
        <v>0.35899999999999999</v>
      </c>
      <c r="L11" s="147">
        <v>1580</v>
      </c>
      <c r="M11" s="171">
        <v>1</v>
      </c>
      <c r="N11" s="167">
        <f>D11*M11</f>
        <v>9.9739964799999985</v>
      </c>
      <c r="O11" s="112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9.9739964799999985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5" ht="28.9" x14ac:dyDescent="0.3">
      <c r="A15" s="427">
        <v>10</v>
      </c>
      <c r="B15" s="427" t="s">
        <v>120</v>
      </c>
      <c r="C15" s="427" t="s">
        <v>121</v>
      </c>
      <c r="D15" s="185">
        <v>25</v>
      </c>
      <c r="E15" s="177" t="s">
        <v>43</v>
      </c>
      <c r="F15" s="601">
        <f>J11*K11*L11</f>
        <v>4.9869982399999992E-2</v>
      </c>
      <c r="G15" s="322"/>
      <c r="H15" s="322"/>
      <c r="I15" s="186">
        <f>IF(H15="",D15*F15,D15*F15*H15)</f>
        <v>1.2467495599999998</v>
      </c>
      <c r="J15" s="122"/>
      <c r="K15" s="122"/>
      <c r="L15" s="122"/>
      <c r="M15" s="122"/>
      <c r="N15" s="122"/>
      <c r="O15" s="123"/>
    </row>
    <row r="16" spans="1:15" ht="14.45" x14ac:dyDescent="0.3">
      <c r="A16" s="114"/>
      <c r="B16" s="115"/>
      <c r="C16" s="115"/>
      <c r="D16" s="115"/>
      <c r="E16" s="115"/>
      <c r="F16" s="115"/>
      <c r="G16" s="115"/>
      <c r="H16" s="359" t="s">
        <v>20</v>
      </c>
      <c r="I16" s="358">
        <f>SUM(I15:I15)</f>
        <v>1.2467495599999998</v>
      </c>
      <c r="J16" s="115"/>
      <c r="K16" s="115"/>
      <c r="L16" s="115"/>
      <c r="M16" s="115"/>
      <c r="N16" s="115"/>
      <c r="O16" s="107"/>
    </row>
    <row r="17" spans="1:15" thickBot="1" x14ac:dyDescent="0.35">
      <c r="A17" s="118"/>
      <c r="B17" s="119"/>
      <c r="C17" s="119"/>
      <c r="D17" s="119"/>
      <c r="E17" s="119"/>
      <c r="F17" s="119"/>
      <c r="G17" s="119"/>
      <c r="H17" s="119"/>
      <c r="I17" s="119"/>
      <c r="J17" s="119"/>
      <c r="K17" s="119"/>
      <c r="L17" s="119"/>
      <c r="M17" s="119"/>
      <c r="N17" s="119"/>
      <c r="O17" s="120"/>
    </row>
  </sheetData>
  <hyperlinks>
    <hyperlink ref="B4" location="SU_A0200" display="Lower Front A-arm"/>
    <hyperlink ref="G2" location="SU_A0200_BOM" display="Back to BOM"/>
  </hyperlinks>
  <pageMargins left="0.31496062992125984" right="0.31496062992125984" top="0.31496062992125984" bottom="0.39370078740157483" header="0.51181102362204722" footer="0.31496062992125984"/>
  <pageSetup paperSize="9" scale="68" fitToHeight="99" orientation="landscape" horizontalDpi="1200" verticalDpi="1200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5" zoomScaleNormal="85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33.85546875" style="103" customWidth="1"/>
    <col min="3" max="3" width="18.28515625" style="103" customWidth="1"/>
    <col min="4" max="4" width="11.5703125" style="103"/>
    <col min="5" max="5" width="18.28515625" style="103" customWidth="1"/>
    <col min="6" max="16384" width="11.57031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N12+I16</f>
        <v>10.001779199999998</v>
      </c>
      <c r="O2" s="107"/>
    </row>
    <row r="3" spans="1:15" ht="14.45" x14ac:dyDescent="0.3">
      <c r="A3" s="377" t="s">
        <v>5</v>
      </c>
      <c r="B3" s="104" t="str">
        <f>'SU A0200'!B3</f>
        <v>Suspension &amp; Shocks</v>
      </c>
      <c r="C3" s="105"/>
      <c r="D3" s="377" t="s">
        <v>8</v>
      </c>
      <c r="E3" s="103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1</v>
      </c>
      <c r="O3" s="107"/>
    </row>
    <row r="4" spans="1:15" ht="14.45" x14ac:dyDescent="0.3">
      <c r="A4" s="377" t="s">
        <v>7</v>
      </c>
      <c r="B4" s="58" t="s">
        <v>265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5" ht="14.45" x14ac:dyDescent="0.3">
      <c r="A5" s="377" t="s">
        <v>17</v>
      </c>
      <c r="B5" s="71" t="s">
        <v>277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10.001779199999998</v>
      </c>
      <c r="O5" s="107"/>
    </row>
    <row r="6" spans="1:15" ht="14.45" x14ac:dyDescent="0.3">
      <c r="A6" s="377" t="s">
        <v>9</v>
      </c>
      <c r="B6" s="109" t="s">
        <v>276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5" ht="14.45" x14ac:dyDescent="0.3">
      <c r="A7" s="377" t="s">
        <v>12</v>
      </c>
      <c r="B7" s="104"/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5" ht="14.45" x14ac:dyDescent="0.3">
      <c r="A11" s="374">
        <v>10</v>
      </c>
      <c r="B11" s="427" t="s">
        <v>118</v>
      </c>
      <c r="C11" s="428" t="s">
        <v>119</v>
      </c>
      <c r="D11" s="413">
        <f>200*E11*L11</f>
        <v>8.8904703999999981</v>
      </c>
      <c r="E11" s="602">
        <f>J11*K11</f>
        <v>2.8134399999999996E-5</v>
      </c>
      <c r="F11" s="373" t="s">
        <v>240</v>
      </c>
      <c r="G11" s="373"/>
      <c r="H11" s="168"/>
      <c r="I11" s="372" t="s">
        <v>239</v>
      </c>
      <c r="J11" s="65">
        <f>3.14*(0.008*0.008-0.006*0.006)</f>
        <v>8.7919999999999985E-5</v>
      </c>
      <c r="K11" s="65">
        <f>320/1000</f>
        <v>0.32</v>
      </c>
      <c r="L11" s="147">
        <v>1580</v>
      </c>
      <c r="M11" s="171">
        <v>1</v>
      </c>
      <c r="N11" s="167">
        <f>D11*M11</f>
        <v>8.8904703999999981</v>
      </c>
      <c r="O11" s="112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8.8904703999999981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5" ht="14.45" x14ac:dyDescent="0.3">
      <c r="A15" s="427">
        <v>10</v>
      </c>
      <c r="B15" s="427" t="s">
        <v>120</v>
      </c>
      <c r="C15" s="427" t="s">
        <v>121</v>
      </c>
      <c r="D15" s="185">
        <v>25</v>
      </c>
      <c r="E15" s="177" t="s">
        <v>43</v>
      </c>
      <c r="F15" s="603">
        <f>J11*K11*L11</f>
        <v>4.4452351999999994E-2</v>
      </c>
      <c r="G15" s="322"/>
      <c r="H15" s="322"/>
      <c r="I15" s="186">
        <f>IF(H15="",D15*F15,D15*F15*H15)</f>
        <v>1.1113087999999998</v>
      </c>
      <c r="J15" s="122"/>
      <c r="K15" s="122"/>
      <c r="L15" s="122"/>
      <c r="M15" s="122"/>
      <c r="N15" s="122"/>
      <c r="O15" s="123"/>
    </row>
    <row r="16" spans="1:15" ht="14.45" x14ac:dyDescent="0.3">
      <c r="A16" s="114"/>
      <c r="B16" s="115"/>
      <c r="C16" s="115"/>
      <c r="D16" s="115"/>
      <c r="E16" s="115"/>
      <c r="F16" s="115"/>
      <c r="G16" s="115"/>
      <c r="H16" s="359" t="s">
        <v>20</v>
      </c>
      <c r="I16" s="358">
        <f>SUM(I15:I15)</f>
        <v>1.1113087999999998</v>
      </c>
      <c r="J16" s="115"/>
      <c r="K16" s="115"/>
      <c r="L16" s="115"/>
      <c r="M16" s="115"/>
      <c r="N16" s="115"/>
      <c r="O16" s="107"/>
    </row>
    <row r="17" spans="1:15" thickBot="1" x14ac:dyDescent="0.35">
      <c r="A17" s="118"/>
      <c r="B17" s="119"/>
      <c r="C17" s="119"/>
      <c r="D17" s="119"/>
      <c r="E17" s="119"/>
      <c r="F17" s="119"/>
      <c r="G17" s="119"/>
      <c r="H17" s="119"/>
      <c r="I17" s="119"/>
      <c r="J17" s="119"/>
      <c r="K17" s="119"/>
      <c r="L17" s="119"/>
      <c r="M17" s="119"/>
      <c r="N17" s="119"/>
      <c r="O17" s="120"/>
    </row>
  </sheetData>
  <hyperlinks>
    <hyperlink ref="B4" location="SU_A0200" display="Lower Front A-arm"/>
    <hyperlink ref="G2" location="SU_A0200_BOM" display="Back to BOM"/>
  </hyperlinks>
  <pageMargins left="0.31496062992125984" right="0.31496062992125984" top="0.31496062992125984" bottom="0.39370078740157483" header="0.51181102362204722" footer="0.31496062992125984"/>
  <pageSetup paperSize="9" scale="68" fitToHeight="99" orientation="landscape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70" zoomScaleNormal="7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24.42578125" style="103" customWidth="1"/>
    <col min="3" max="3" width="24.5703125" style="103" customWidth="1"/>
    <col min="4" max="8" width="9.140625" style="103"/>
    <col min="9" max="9" width="11" style="103" customWidth="1"/>
    <col min="10" max="11" width="10" style="103" bestFit="1" customWidth="1"/>
    <col min="12" max="14" width="9.140625" style="103"/>
    <col min="15" max="15" width="3.140625" style="103" customWidth="1"/>
    <col min="16" max="17" width="9.140625" style="103"/>
    <col min="18" max="19" width="16.28515625" style="103" bestFit="1" customWidth="1"/>
    <col min="20" max="16384" width="9.140625" style="103"/>
  </cols>
  <sheetData>
    <row r="1" spans="1:19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9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SU_01001_m+SU_01001_p</f>
        <v>15.090551905600002</v>
      </c>
      <c r="O2" s="107"/>
    </row>
    <row r="3" spans="1:19" ht="14.45" x14ac:dyDescent="0.3">
      <c r="A3" s="377" t="s">
        <v>5</v>
      </c>
      <c r="B3" s="104" t="str">
        <f>'SU A0100'!B3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1</v>
      </c>
      <c r="O3" s="107"/>
    </row>
    <row r="4" spans="1:19" ht="14.45" x14ac:dyDescent="0.3">
      <c r="A4" s="377" t="s">
        <v>7</v>
      </c>
      <c r="B4" s="58" t="str">
        <f>'SU A0100'!B4</f>
        <v>Upper Front A-arm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9" ht="14.45" x14ac:dyDescent="0.3">
      <c r="A5" s="377" t="s">
        <v>17</v>
      </c>
      <c r="B5" s="108" t="s">
        <v>231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15.090551905600002</v>
      </c>
      <c r="O5" s="107"/>
    </row>
    <row r="6" spans="1:19" ht="14.45" x14ac:dyDescent="0.3">
      <c r="A6" s="377" t="s">
        <v>9</v>
      </c>
      <c r="B6" s="109" t="s">
        <v>230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9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9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9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9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9" s="113" customFormat="1" ht="14.45" x14ac:dyDescent="0.3">
      <c r="A11" s="374">
        <v>10</v>
      </c>
      <c r="B11" s="262" t="s">
        <v>229</v>
      </c>
      <c r="C11" s="373" t="s">
        <v>99</v>
      </c>
      <c r="D11" s="167">
        <f>4.2</f>
        <v>4.2</v>
      </c>
      <c r="E11" s="373"/>
      <c r="F11" s="373"/>
      <c r="G11" s="373"/>
      <c r="H11" s="168"/>
      <c r="I11" s="372" t="s">
        <v>228</v>
      </c>
      <c r="J11" s="65">
        <f>69*73/1000000</f>
        <v>5.0369999999999998E-3</v>
      </c>
      <c r="K11" s="65">
        <v>4.7E-2</v>
      </c>
      <c r="L11" s="147">
        <v>2712</v>
      </c>
      <c r="M11" s="175">
        <v>1</v>
      </c>
      <c r="N11" s="167">
        <f>D11*M11*L11*K11*J11</f>
        <v>2.6965519055999998</v>
      </c>
      <c r="O11" s="112"/>
    </row>
    <row r="12" spans="1:19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2.6965519055999998</v>
      </c>
      <c r="O12" s="107"/>
    </row>
    <row r="13" spans="1:19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  <c r="S13" s="364"/>
    </row>
    <row r="14" spans="1:19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  <c r="R14" s="364"/>
    </row>
    <row r="15" spans="1:19" s="124" customFormat="1" ht="28.9" customHeight="1" x14ac:dyDescent="0.3">
      <c r="A15" s="363">
        <v>10</v>
      </c>
      <c r="B15" s="198" t="s">
        <v>81</v>
      </c>
      <c r="C15" s="363"/>
      <c r="D15" s="366">
        <v>1.3</v>
      </c>
      <c r="E15" s="198" t="s">
        <v>24</v>
      </c>
      <c r="F15" s="365">
        <v>1</v>
      </c>
      <c r="G15" s="368"/>
      <c r="H15" s="368"/>
      <c r="I15" s="173">
        <f t="shared" ref="I15:I25" si="0">IF(H15="",D15*F15,D15*F15*H15)</f>
        <v>1.3</v>
      </c>
      <c r="J15" s="122"/>
      <c r="K15" s="122"/>
      <c r="L15" s="122"/>
      <c r="M15" s="122"/>
      <c r="N15" s="122"/>
      <c r="O15" s="123"/>
    </row>
    <row r="16" spans="1:19" ht="44.45" customHeight="1" x14ac:dyDescent="0.3">
      <c r="A16" s="361">
        <v>20</v>
      </c>
      <c r="B16" s="198" t="s">
        <v>80</v>
      </c>
      <c r="C16" s="362" t="s">
        <v>227</v>
      </c>
      <c r="D16" s="203">
        <v>0.04</v>
      </c>
      <c r="E16" s="361" t="s">
        <v>79</v>
      </c>
      <c r="F16" s="360">
        <v>153</v>
      </c>
      <c r="G16" s="172"/>
      <c r="H16" s="262"/>
      <c r="I16" s="173">
        <f t="shared" si="0"/>
        <v>6.12</v>
      </c>
      <c r="J16" s="105"/>
      <c r="K16" s="105"/>
      <c r="L16" s="105"/>
      <c r="M16" s="105"/>
      <c r="N16" s="105"/>
      <c r="O16" s="107"/>
      <c r="R16" s="364"/>
    </row>
    <row r="17" spans="1:18" s="149" customFormat="1" ht="15" customHeight="1" x14ac:dyDescent="0.3">
      <c r="A17" s="363">
        <v>30</v>
      </c>
      <c r="B17" s="198" t="s">
        <v>87</v>
      </c>
      <c r="C17" s="363"/>
      <c r="D17" s="366">
        <v>0.65</v>
      </c>
      <c r="E17" s="198" t="s">
        <v>24</v>
      </c>
      <c r="F17" s="365">
        <v>1</v>
      </c>
      <c r="G17" s="262"/>
      <c r="H17" s="262"/>
      <c r="I17" s="173">
        <f t="shared" si="0"/>
        <v>0.65</v>
      </c>
      <c r="J17" s="129"/>
      <c r="K17" s="129"/>
      <c r="L17" s="129"/>
      <c r="M17" s="129"/>
      <c r="N17" s="129"/>
      <c r="O17" s="148"/>
      <c r="R17" s="367"/>
    </row>
    <row r="18" spans="1:18" ht="18.600000000000001" customHeight="1" x14ac:dyDescent="0.3">
      <c r="A18" s="361">
        <v>40</v>
      </c>
      <c r="B18" s="198" t="s">
        <v>80</v>
      </c>
      <c r="C18" s="362" t="s">
        <v>226</v>
      </c>
      <c r="D18" s="203">
        <v>0.04</v>
      </c>
      <c r="E18" s="361" t="s">
        <v>79</v>
      </c>
      <c r="F18" s="360">
        <v>2.2999999999999998</v>
      </c>
      <c r="G18" s="172"/>
      <c r="H18" s="262"/>
      <c r="I18" s="173">
        <f t="shared" si="0"/>
        <v>9.1999999999999998E-2</v>
      </c>
      <c r="J18" s="105"/>
      <c r="K18" s="105"/>
      <c r="L18" s="105"/>
      <c r="M18" s="105"/>
      <c r="N18" s="105"/>
      <c r="O18" s="107"/>
      <c r="R18" s="364"/>
    </row>
    <row r="19" spans="1:18" ht="29.45" customHeight="1" x14ac:dyDescent="0.3">
      <c r="A19" s="363">
        <v>50</v>
      </c>
      <c r="B19" s="198" t="s">
        <v>87</v>
      </c>
      <c r="C19" s="363"/>
      <c r="D19" s="366">
        <v>0.65</v>
      </c>
      <c r="E19" s="198" t="s">
        <v>24</v>
      </c>
      <c r="F19" s="365">
        <v>1</v>
      </c>
      <c r="G19" s="262"/>
      <c r="H19" s="262"/>
      <c r="I19" s="173">
        <f t="shared" si="0"/>
        <v>0.65</v>
      </c>
      <c r="J19" s="105"/>
      <c r="K19" s="105"/>
      <c r="L19" s="105"/>
      <c r="M19" s="105"/>
      <c r="N19" s="105"/>
      <c r="O19" s="107"/>
      <c r="R19" s="364"/>
    </row>
    <row r="20" spans="1:18" ht="29.45" customHeight="1" x14ac:dyDescent="0.3">
      <c r="A20" s="361">
        <v>60</v>
      </c>
      <c r="B20" s="198" t="s">
        <v>80</v>
      </c>
      <c r="C20" s="362" t="s">
        <v>225</v>
      </c>
      <c r="D20" s="203">
        <v>0.04</v>
      </c>
      <c r="E20" s="361" t="s">
        <v>79</v>
      </c>
      <c r="F20" s="360">
        <v>2.2999999999999998</v>
      </c>
      <c r="G20" s="262"/>
      <c r="H20" s="262"/>
      <c r="I20" s="173">
        <f t="shared" si="0"/>
        <v>9.1999999999999998E-2</v>
      </c>
      <c r="J20" s="105"/>
      <c r="K20" s="105"/>
      <c r="L20" s="105"/>
      <c r="M20" s="105"/>
      <c r="N20" s="105"/>
      <c r="O20" s="107"/>
      <c r="R20" s="364"/>
    </row>
    <row r="21" spans="1:18" ht="14.45" customHeight="1" x14ac:dyDescent="0.3">
      <c r="A21" s="363">
        <v>70</v>
      </c>
      <c r="B21" s="198" t="s">
        <v>87</v>
      </c>
      <c r="C21" s="363"/>
      <c r="D21" s="366">
        <v>0.65</v>
      </c>
      <c r="E21" s="198" t="s">
        <v>24</v>
      </c>
      <c r="F21" s="365">
        <v>1</v>
      </c>
      <c r="G21" s="262"/>
      <c r="H21" s="262"/>
      <c r="I21" s="173">
        <f t="shared" si="0"/>
        <v>0.65</v>
      </c>
      <c r="J21" s="105"/>
      <c r="K21" s="105"/>
      <c r="L21" s="105"/>
      <c r="M21" s="105"/>
      <c r="N21" s="105"/>
      <c r="O21" s="107"/>
      <c r="R21" s="364"/>
    </row>
    <row r="22" spans="1:18" ht="29.45" customHeight="1" x14ac:dyDescent="0.3">
      <c r="A22" s="361">
        <v>80</v>
      </c>
      <c r="B22" s="198" t="s">
        <v>80</v>
      </c>
      <c r="C22" s="362" t="s">
        <v>224</v>
      </c>
      <c r="D22" s="203">
        <v>0.04</v>
      </c>
      <c r="E22" s="361" t="s">
        <v>79</v>
      </c>
      <c r="F22" s="360">
        <v>4</v>
      </c>
      <c r="G22" s="262"/>
      <c r="H22" s="262"/>
      <c r="I22" s="173">
        <f t="shared" si="0"/>
        <v>0.16</v>
      </c>
      <c r="J22" s="105"/>
      <c r="K22" s="105"/>
      <c r="L22" s="105"/>
      <c r="M22" s="105"/>
      <c r="N22" s="105"/>
      <c r="O22" s="107"/>
      <c r="R22" s="364"/>
    </row>
    <row r="23" spans="1:18" ht="16.899999999999999" customHeight="1" x14ac:dyDescent="0.3">
      <c r="A23" s="363">
        <v>90</v>
      </c>
      <c r="B23" s="198" t="s">
        <v>87</v>
      </c>
      <c r="C23" s="363"/>
      <c r="D23" s="366">
        <v>0.65</v>
      </c>
      <c r="E23" s="198" t="s">
        <v>24</v>
      </c>
      <c r="F23" s="365">
        <v>1</v>
      </c>
      <c r="G23" s="262"/>
      <c r="H23" s="262"/>
      <c r="I23" s="173">
        <f t="shared" si="0"/>
        <v>0.65</v>
      </c>
      <c r="J23" s="105"/>
      <c r="K23" s="105"/>
      <c r="L23" s="105"/>
      <c r="M23" s="105"/>
      <c r="N23" s="105"/>
      <c r="O23" s="107"/>
      <c r="R23" s="364"/>
    </row>
    <row r="24" spans="1:18" ht="28.9" customHeight="1" x14ac:dyDescent="0.3">
      <c r="A24" s="361">
        <v>100</v>
      </c>
      <c r="B24" s="198" t="s">
        <v>80</v>
      </c>
      <c r="C24" s="362" t="s">
        <v>223</v>
      </c>
      <c r="D24" s="203">
        <v>0.04</v>
      </c>
      <c r="E24" s="361" t="s">
        <v>79</v>
      </c>
      <c r="F24" s="360">
        <v>42</v>
      </c>
      <c r="G24" s="262"/>
      <c r="H24" s="262"/>
      <c r="I24" s="173">
        <f t="shared" si="0"/>
        <v>1.68</v>
      </c>
      <c r="J24" s="105"/>
      <c r="K24" s="105"/>
      <c r="L24" s="105"/>
      <c r="M24" s="105"/>
      <c r="N24" s="105"/>
      <c r="O24" s="107"/>
      <c r="R24" s="364"/>
    </row>
    <row r="25" spans="1:18" ht="28.9" customHeight="1" x14ac:dyDescent="0.3">
      <c r="A25" s="363">
        <v>110</v>
      </c>
      <c r="B25" s="198" t="s">
        <v>222</v>
      </c>
      <c r="C25" s="362" t="s">
        <v>221</v>
      </c>
      <c r="D25" s="203">
        <v>0.35</v>
      </c>
      <c r="E25" s="361"/>
      <c r="F25" s="360">
        <v>1</v>
      </c>
      <c r="G25" s="262"/>
      <c r="H25" s="262"/>
      <c r="I25" s="173">
        <f t="shared" si="0"/>
        <v>0.35</v>
      </c>
      <c r="J25" s="105"/>
      <c r="K25" s="105"/>
      <c r="L25" s="105"/>
      <c r="M25" s="105"/>
      <c r="N25" s="105"/>
      <c r="O25" s="107"/>
    </row>
    <row r="26" spans="1:18" x14ac:dyDescent="0.25">
      <c r="A26" s="114"/>
      <c r="B26" s="115"/>
      <c r="C26" s="115"/>
      <c r="D26" s="115"/>
      <c r="E26" s="115"/>
      <c r="F26" s="115"/>
      <c r="G26" s="115"/>
      <c r="H26" s="359" t="s">
        <v>20</v>
      </c>
      <c r="I26" s="358">
        <f>SUM(I15:I25)</f>
        <v>12.394000000000002</v>
      </c>
      <c r="J26" s="115"/>
      <c r="K26" s="115"/>
      <c r="L26" s="115"/>
      <c r="M26" s="115"/>
      <c r="N26" s="115"/>
      <c r="O26" s="107"/>
    </row>
    <row r="27" spans="1:18" ht="15.75" thickBot="1" x14ac:dyDescent="0.3">
      <c r="A27" s="118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19"/>
      <c r="O27" s="120"/>
    </row>
  </sheetData>
  <hyperlinks>
    <hyperlink ref="B4" location="'SU A0100'!A1" display="'SU A0100'!A1"/>
    <hyperlink ref="E3" location="dSU_01001" display="Drawing"/>
    <hyperlink ref="G2" location="SU_A0100_BOM" display="Back to BOM"/>
  </hyperlinks>
  <pageMargins left="0.31496062992125984" right="0.31496062992125984" top="0.31496062992125984" bottom="0.39370078740157483" header="0.51181102362204722" footer="0.31496062992125984"/>
  <pageSetup paperSize="9" scale="86" firstPageNumber="0" fitToHeight="99" orientation="landscape" horizontalDpi="1200" verticalDpi="1200" r:id="rId1"/>
  <rowBreaks count="2" manualBreakCount="2">
    <brk id="27" max="16383" man="1"/>
    <brk id="61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8"/>
  <sheetViews>
    <sheetView zoomScale="90" zoomScaleNormal="9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25.140625" style="103" customWidth="1"/>
    <col min="3" max="3" width="30.5703125" style="103" customWidth="1"/>
    <col min="4" max="8" width="11.5703125" style="103"/>
    <col min="9" max="9" width="14" style="103" customWidth="1"/>
    <col min="10" max="16" width="11.5703125" style="103"/>
    <col min="17" max="17" width="12.85546875" style="103" bestFit="1" customWidth="1"/>
    <col min="18" max="16384" width="11.5703125" style="103"/>
  </cols>
  <sheetData>
    <row r="1" spans="1:17" ht="14.45" x14ac:dyDescent="0.3">
      <c r="A1" s="640"/>
      <c r="B1" s="639"/>
      <c r="C1" s="639"/>
      <c r="D1" s="639"/>
      <c r="E1" s="639"/>
      <c r="F1" s="639"/>
      <c r="G1" s="639"/>
      <c r="H1" s="639"/>
      <c r="I1" s="639"/>
      <c r="J1" s="639"/>
      <c r="K1" s="639"/>
      <c r="L1" s="639"/>
      <c r="M1" s="639"/>
      <c r="N1" s="639"/>
      <c r="O1" s="638"/>
    </row>
    <row r="2" spans="1:17" ht="14.45" x14ac:dyDescent="0.3">
      <c r="A2" s="502" t="s">
        <v>0</v>
      </c>
      <c r="B2" s="501" t="s">
        <v>1</v>
      </c>
      <c r="C2" s="452"/>
      <c r="D2" s="452"/>
      <c r="E2" s="452"/>
      <c r="F2" s="452"/>
      <c r="G2" s="507" t="s">
        <v>2</v>
      </c>
      <c r="H2" s="452"/>
      <c r="I2" s="452"/>
      <c r="J2" s="637" t="s">
        <v>3</v>
      </c>
      <c r="K2" s="636">
        <v>81</v>
      </c>
      <c r="L2" s="452"/>
      <c r="M2" s="502" t="s">
        <v>18</v>
      </c>
      <c r="N2" s="632">
        <f>N12+I17</f>
        <v>0.90817037600000006</v>
      </c>
      <c r="O2" s="607"/>
    </row>
    <row r="3" spans="1:17" ht="14.45" x14ac:dyDescent="0.3">
      <c r="A3" s="502" t="s">
        <v>5</v>
      </c>
      <c r="B3" s="501" t="str">
        <f>'SU A0200'!B3</f>
        <v>Suspension &amp; Shocks</v>
      </c>
      <c r="C3" s="452"/>
      <c r="D3" s="502" t="s">
        <v>8</v>
      </c>
      <c r="E3" s="635" t="s">
        <v>84</v>
      </c>
      <c r="F3" s="452"/>
      <c r="G3" s="452"/>
      <c r="H3" s="452"/>
      <c r="I3" s="452"/>
      <c r="J3" s="452"/>
      <c r="K3" s="452"/>
      <c r="L3" s="452"/>
      <c r="M3" s="502" t="s">
        <v>6</v>
      </c>
      <c r="N3" s="634">
        <v>2</v>
      </c>
      <c r="O3" s="607"/>
    </row>
    <row r="4" spans="1:17" ht="14.45" x14ac:dyDescent="0.3">
      <c r="A4" s="502" t="s">
        <v>7</v>
      </c>
      <c r="B4" s="507" t="s">
        <v>265</v>
      </c>
      <c r="C4" s="452"/>
      <c r="D4" s="502" t="s">
        <v>10</v>
      </c>
      <c r="E4" s="452"/>
      <c r="F4" s="452"/>
      <c r="G4" s="452"/>
      <c r="H4" s="452"/>
      <c r="I4" s="452"/>
      <c r="J4" s="631" t="s">
        <v>8</v>
      </c>
      <c r="K4" s="452"/>
      <c r="L4" s="452"/>
      <c r="M4" s="452"/>
      <c r="N4" s="452"/>
      <c r="O4" s="607"/>
    </row>
    <row r="5" spans="1:17" ht="14.45" x14ac:dyDescent="0.3">
      <c r="A5" s="502" t="s">
        <v>17</v>
      </c>
      <c r="B5" s="633" t="s">
        <v>248</v>
      </c>
      <c r="C5" s="452"/>
      <c r="D5" s="502" t="s">
        <v>14</v>
      </c>
      <c r="E5" s="452"/>
      <c r="F5" s="452"/>
      <c r="G5" s="452"/>
      <c r="H5" s="452"/>
      <c r="I5" s="452"/>
      <c r="J5" s="631" t="s">
        <v>10</v>
      </c>
      <c r="K5" s="452"/>
      <c r="L5" s="452"/>
      <c r="M5" s="502" t="s">
        <v>11</v>
      </c>
      <c r="N5" s="632">
        <f>N3*N2</f>
        <v>1.8163407520000001</v>
      </c>
      <c r="O5" s="607"/>
    </row>
    <row r="6" spans="1:17" ht="14.45" x14ac:dyDescent="0.3">
      <c r="A6" s="502" t="s">
        <v>9</v>
      </c>
      <c r="B6" s="503" t="s">
        <v>278</v>
      </c>
      <c r="C6" s="452"/>
      <c r="D6" s="452"/>
      <c r="E6" s="452"/>
      <c r="F6" s="452"/>
      <c r="G6" s="452"/>
      <c r="H6" s="452"/>
      <c r="I6" s="452"/>
      <c r="J6" s="631" t="s">
        <v>14</v>
      </c>
      <c r="K6" s="452"/>
      <c r="L6" s="452"/>
      <c r="M6" s="452"/>
      <c r="N6" s="452"/>
      <c r="O6" s="607"/>
    </row>
    <row r="7" spans="1:17" ht="14.45" x14ac:dyDescent="0.3">
      <c r="A7" s="502" t="s">
        <v>12</v>
      </c>
      <c r="B7" s="501"/>
      <c r="C7" s="452"/>
      <c r="D7" s="452"/>
      <c r="E7" s="452"/>
      <c r="F7" s="452"/>
      <c r="G7" s="452"/>
      <c r="H7" s="452"/>
      <c r="I7" s="452"/>
      <c r="J7" s="452"/>
      <c r="K7" s="452"/>
      <c r="L7" s="452"/>
      <c r="M7" s="452"/>
      <c r="N7" s="452"/>
      <c r="O7" s="607"/>
    </row>
    <row r="8" spans="1:17" ht="14.45" x14ac:dyDescent="0.3">
      <c r="A8" s="502" t="s">
        <v>15</v>
      </c>
      <c r="B8" s="501"/>
      <c r="C8" s="452"/>
      <c r="D8" s="452"/>
      <c r="E8" s="452"/>
      <c r="F8" s="452"/>
      <c r="G8" s="452"/>
      <c r="H8" s="452"/>
      <c r="I8" s="452"/>
      <c r="J8" s="452"/>
      <c r="K8" s="452"/>
      <c r="L8" s="452"/>
      <c r="M8" s="452"/>
      <c r="N8" s="452"/>
      <c r="O8" s="607"/>
    </row>
    <row r="9" spans="1:17" ht="14.45" x14ac:dyDescent="0.3">
      <c r="A9" s="630"/>
      <c r="B9" s="629"/>
      <c r="C9" s="629"/>
      <c r="D9" s="629"/>
      <c r="E9" s="629"/>
      <c r="F9" s="452"/>
      <c r="G9" s="452"/>
      <c r="H9" s="452"/>
      <c r="I9" s="452"/>
      <c r="J9" s="452"/>
      <c r="K9" s="452"/>
      <c r="L9" s="452"/>
      <c r="M9" s="452"/>
      <c r="N9" s="452"/>
      <c r="O9" s="607"/>
    </row>
    <row r="10" spans="1:17" ht="14.45" x14ac:dyDescent="0.3">
      <c r="A10" s="628" t="s">
        <v>16</v>
      </c>
      <c r="B10" s="627" t="s">
        <v>38</v>
      </c>
      <c r="C10" s="627" t="s">
        <v>22</v>
      </c>
      <c r="D10" s="627" t="s">
        <v>23</v>
      </c>
      <c r="E10" s="627" t="s">
        <v>31</v>
      </c>
      <c r="F10" s="612" t="s">
        <v>32</v>
      </c>
      <c r="G10" s="612" t="s">
        <v>33</v>
      </c>
      <c r="H10" s="612" t="s">
        <v>34</v>
      </c>
      <c r="I10" s="612" t="s">
        <v>39</v>
      </c>
      <c r="J10" s="612" t="s">
        <v>40</v>
      </c>
      <c r="K10" s="612" t="s">
        <v>41</v>
      </c>
      <c r="L10" s="612" t="s">
        <v>42</v>
      </c>
      <c r="M10" s="612" t="s">
        <v>19</v>
      </c>
      <c r="N10" s="612" t="s">
        <v>20</v>
      </c>
      <c r="O10" s="607"/>
    </row>
    <row r="11" spans="1:17" ht="14.45" x14ac:dyDescent="0.3">
      <c r="A11" s="626">
        <v>10</v>
      </c>
      <c r="B11" s="625" t="s">
        <v>246</v>
      </c>
      <c r="C11" s="623" t="s">
        <v>99</v>
      </c>
      <c r="D11" s="617">
        <v>2.25</v>
      </c>
      <c r="E11" s="624">
        <f>J11*K11*L11</f>
        <v>1.3409056000000001E-2</v>
      </c>
      <c r="F11" s="623" t="s">
        <v>153</v>
      </c>
      <c r="G11" s="623"/>
      <c r="H11" s="622"/>
      <c r="I11" s="621" t="s">
        <v>154</v>
      </c>
      <c r="J11" s="620">
        <f>3.14*8*8/1000000</f>
        <v>2.0096E-4</v>
      </c>
      <c r="K11" s="620">
        <f>8.5/1000</f>
        <v>8.5000000000000006E-3</v>
      </c>
      <c r="L11" s="619">
        <v>7850</v>
      </c>
      <c r="M11" s="618">
        <v>1</v>
      </c>
      <c r="N11" s="617">
        <f>D11*E11</f>
        <v>3.0170376000000002E-2</v>
      </c>
      <c r="O11" s="616"/>
      <c r="Q11" s="364"/>
    </row>
    <row r="12" spans="1:17" ht="14.45" x14ac:dyDescent="0.3">
      <c r="A12" s="611"/>
      <c r="B12" s="608"/>
      <c r="C12" s="608"/>
      <c r="D12" s="608"/>
      <c r="E12" s="608"/>
      <c r="F12" s="608"/>
      <c r="G12" s="608"/>
      <c r="H12" s="608"/>
      <c r="I12" s="608"/>
      <c r="J12" s="608"/>
      <c r="K12" s="608"/>
      <c r="L12" s="608"/>
      <c r="M12" s="615" t="s">
        <v>20</v>
      </c>
      <c r="N12" s="609">
        <f>SUM(N11:N11)</f>
        <v>3.0170376000000002E-2</v>
      </c>
      <c r="O12" s="607"/>
    </row>
    <row r="13" spans="1:17" ht="14.45" x14ac:dyDescent="0.3">
      <c r="A13" s="614"/>
      <c r="B13" s="452"/>
      <c r="C13" s="452"/>
      <c r="D13" s="452"/>
      <c r="E13" s="452"/>
      <c r="F13" s="452"/>
      <c r="G13" s="452"/>
      <c r="H13" s="452"/>
      <c r="I13" s="452"/>
      <c r="J13" s="452"/>
      <c r="K13" s="452"/>
      <c r="L13" s="452"/>
      <c r="M13" s="452"/>
      <c r="N13" s="452"/>
      <c r="O13" s="607"/>
    </row>
    <row r="14" spans="1:17" ht="14.45" x14ac:dyDescent="0.3">
      <c r="A14" s="613" t="s">
        <v>16</v>
      </c>
      <c r="B14" s="612" t="s">
        <v>21</v>
      </c>
      <c r="C14" s="612" t="s">
        <v>22</v>
      </c>
      <c r="D14" s="612" t="s">
        <v>23</v>
      </c>
      <c r="E14" s="612" t="s">
        <v>24</v>
      </c>
      <c r="F14" s="612" t="s">
        <v>19</v>
      </c>
      <c r="G14" s="612" t="s">
        <v>25</v>
      </c>
      <c r="H14" s="612" t="s">
        <v>26</v>
      </c>
      <c r="I14" s="612" t="s">
        <v>20</v>
      </c>
      <c r="J14" s="608"/>
      <c r="K14" s="608"/>
      <c r="L14" s="608"/>
      <c r="M14" s="608"/>
      <c r="N14" s="608"/>
      <c r="O14" s="607"/>
    </row>
    <row r="15" spans="1:17" ht="31.15" customHeight="1" x14ac:dyDescent="0.3">
      <c r="A15" s="227">
        <v>10</v>
      </c>
      <c r="B15" s="227" t="s">
        <v>81</v>
      </c>
      <c r="C15" s="227" t="s">
        <v>103</v>
      </c>
      <c r="D15" s="402">
        <v>1.3</v>
      </c>
      <c r="E15" s="227" t="s">
        <v>24</v>
      </c>
      <c r="F15" s="323">
        <v>1</v>
      </c>
      <c r="G15" s="431" t="s">
        <v>245</v>
      </c>
      <c r="H15" s="431">
        <v>0.5</v>
      </c>
      <c r="I15" s="230">
        <f>IF(H15="",D15*F15,D15*F15*H15)</f>
        <v>0.65</v>
      </c>
      <c r="J15" s="400"/>
      <c r="K15" s="400"/>
      <c r="L15" s="400"/>
      <c r="M15" s="400"/>
      <c r="N15" s="400"/>
      <c r="O15" s="95"/>
    </row>
    <row r="16" spans="1:17" ht="14.45" x14ac:dyDescent="0.3">
      <c r="A16" s="429">
        <v>20</v>
      </c>
      <c r="B16" s="429" t="s">
        <v>80</v>
      </c>
      <c r="C16" s="429" t="s">
        <v>126</v>
      </c>
      <c r="D16" s="430">
        <v>0.04</v>
      </c>
      <c r="E16" s="429" t="s">
        <v>79</v>
      </c>
      <c r="F16" s="429">
        <v>1.9</v>
      </c>
      <c r="G16" s="429" t="s">
        <v>95</v>
      </c>
      <c r="H16" s="429">
        <v>3</v>
      </c>
      <c r="I16" s="230">
        <f>IF(H16="",D16*F16,D16*F16*H16)</f>
        <v>0.22799999999999998</v>
      </c>
      <c r="J16" s="80"/>
      <c r="K16" s="80"/>
      <c r="L16" s="80"/>
      <c r="M16" s="80"/>
      <c r="N16" s="80"/>
      <c r="O16" s="84"/>
    </row>
    <row r="17" spans="1:15" ht="14.45" x14ac:dyDescent="0.3">
      <c r="A17" s="611"/>
      <c r="B17" s="608"/>
      <c r="C17" s="608"/>
      <c r="D17" s="608"/>
      <c r="E17" s="608"/>
      <c r="F17" s="608"/>
      <c r="G17" s="608"/>
      <c r="H17" s="610" t="s">
        <v>20</v>
      </c>
      <c r="I17" s="609">
        <f>SUM(I15:I16)</f>
        <v>0.878</v>
      </c>
      <c r="J17" s="608"/>
      <c r="K17" s="608"/>
      <c r="L17" s="608"/>
      <c r="M17" s="608"/>
      <c r="N17" s="608"/>
      <c r="O17" s="607"/>
    </row>
    <row r="18" spans="1:15" thickBot="1" x14ac:dyDescent="0.35">
      <c r="A18" s="606"/>
      <c r="B18" s="605"/>
      <c r="C18" s="605"/>
      <c r="D18" s="605"/>
      <c r="E18" s="605"/>
      <c r="F18" s="605"/>
      <c r="G18" s="605"/>
      <c r="H18" s="605"/>
      <c r="I18" s="605"/>
      <c r="J18" s="605"/>
      <c r="K18" s="605"/>
      <c r="L18" s="605"/>
      <c r="M18" s="605"/>
      <c r="N18" s="605"/>
      <c r="O18" s="604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31496062992125984" right="0.31496062992125984" top="0.31496062992125984" bottom="0.39370078740157483" header="0.51181102362204722" footer="0.31496062992125984"/>
  <pageSetup paperSize="9" scale="68" fitToHeight="99" orientation="landscape" horizontalDpi="1200" verticalDpi="1200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22.5703125" style="103" customWidth="1"/>
    <col min="2" max="16384" width="11.5703125" style="103"/>
  </cols>
  <sheetData>
    <row r="1" spans="1:2" x14ac:dyDescent="0.3">
      <c r="A1" s="103" t="s">
        <v>89</v>
      </c>
      <c r="B1" s="60" t="s">
        <v>278</v>
      </c>
    </row>
  </sheetData>
  <hyperlinks>
    <hyperlink ref="B1" location="SU_02005" display="SU_02005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zoomScale="90" zoomScaleNormal="9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27.7109375" style="103" customWidth="1"/>
    <col min="3" max="3" width="22.42578125" style="103" customWidth="1"/>
    <col min="4" max="6" width="11.5703125" style="103"/>
    <col min="7" max="7" width="25.28515625" style="103" customWidth="1"/>
    <col min="8" max="16384" width="11.57031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N12+I17</f>
        <v>0.32421353411764708</v>
      </c>
      <c r="O2" s="107"/>
    </row>
    <row r="3" spans="1:15" ht="14.45" x14ac:dyDescent="0.3">
      <c r="A3" s="377" t="s">
        <v>5</v>
      </c>
      <c r="B3" s="104" t="str">
        <f>'SU A0200'!B3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4</v>
      </c>
      <c r="O3" s="107"/>
    </row>
    <row r="4" spans="1:15" ht="14.45" x14ac:dyDescent="0.3">
      <c r="A4" s="377" t="s">
        <v>7</v>
      </c>
      <c r="B4" s="58" t="s">
        <v>265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5" ht="14.45" x14ac:dyDescent="0.3">
      <c r="A5" s="377" t="s">
        <v>17</v>
      </c>
      <c r="B5" s="108" t="s">
        <v>218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1.2968541364705883</v>
      </c>
      <c r="O5" s="107"/>
    </row>
    <row r="6" spans="1:15" ht="14.45" x14ac:dyDescent="0.3">
      <c r="A6" s="377" t="s">
        <v>9</v>
      </c>
      <c r="B6" s="109" t="s">
        <v>279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5" ht="14.45" x14ac:dyDescent="0.3">
      <c r="A7" s="377" t="s">
        <v>12</v>
      </c>
      <c r="B7" s="104"/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5" ht="14.45" x14ac:dyDescent="0.3">
      <c r="A11" s="196">
        <v>10</v>
      </c>
      <c r="B11" s="215" t="s">
        <v>112</v>
      </c>
      <c r="C11" s="221"/>
      <c r="D11" s="178">
        <v>2.25</v>
      </c>
      <c r="E11" s="410">
        <f>J11*K11*L11</f>
        <v>6.3101440000000009E-2</v>
      </c>
      <c r="F11" s="411" t="s">
        <v>153</v>
      </c>
      <c r="G11" s="411"/>
      <c r="H11" s="222"/>
      <c r="I11" s="410" t="s">
        <v>154</v>
      </c>
      <c r="J11" s="223">
        <f>3.14*8*8/1000000</f>
        <v>2.0096E-4</v>
      </c>
      <c r="K11" s="224">
        <v>0.04</v>
      </c>
      <c r="L11" s="408">
        <v>7850</v>
      </c>
      <c r="M11" s="225">
        <v>1</v>
      </c>
      <c r="N11" s="226">
        <f>D11*E11*M11</f>
        <v>0.14197824000000003</v>
      </c>
      <c r="O11" s="407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0.14197824000000003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5" s="124" customFormat="1" ht="33" customHeight="1" x14ac:dyDescent="0.25">
      <c r="A15" s="227">
        <v>10</v>
      </c>
      <c r="B15" s="227" t="s">
        <v>81</v>
      </c>
      <c r="C15" s="227" t="s">
        <v>103</v>
      </c>
      <c r="D15" s="228">
        <v>1.3</v>
      </c>
      <c r="E15" s="227" t="s">
        <v>24</v>
      </c>
      <c r="F15" s="431">
        <v>1</v>
      </c>
      <c r="G15" s="431" t="s">
        <v>249</v>
      </c>
      <c r="H15" s="434">
        <v>2.9411764705882353E-2</v>
      </c>
      <c r="I15" s="229">
        <f>IF(H15="",D15*F15,D15*F15*H15)</f>
        <v>3.8235294117647062E-2</v>
      </c>
      <c r="J15" s="400"/>
      <c r="K15" s="400"/>
      <c r="L15" s="400"/>
      <c r="M15" s="400"/>
      <c r="N15" s="400"/>
      <c r="O15" s="95"/>
    </row>
    <row r="16" spans="1:15" ht="14.45" x14ac:dyDescent="0.3">
      <c r="A16" s="429">
        <v>20</v>
      </c>
      <c r="B16" s="429" t="s">
        <v>80</v>
      </c>
      <c r="C16" s="429" t="s">
        <v>126</v>
      </c>
      <c r="D16" s="430">
        <v>0.04</v>
      </c>
      <c r="E16" s="429" t="s">
        <v>79</v>
      </c>
      <c r="F16" s="429">
        <v>1.2</v>
      </c>
      <c r="G16" s="429" t="s">
        <v>95</v>
      </c>
      <c r="H16" s="429">
        <v>3</v>
      </c>
      <c r="I16" s="230">
        <f>IF(H16="",D16*F16,D16*F16*H16)</f>
        <v>0.14400000000000002</v>
      </c>
      <c r="J16" s="80"/>
      <c r="K16" s="80"/>
      <c r="L16" s="80"/>
      <c r="M16" s="80"/>
      <c r="N16" s="80"/>
      <c r="O16" s="84"/>
    </row>
    <row r="17" spans="1:15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58">
        <f>SUM(I15:I16)</f>
        <v>0.18223529411764708</v>
      </c>
      <c r="J17" s="115"/>
      <c r="K17" s="115"/>
      <c r="L17" s="115"/>
      <c r="M17" s="115"/>
      <c r="N17" s="115"/>
      <c r="O17" s="107"/>
    </row>
    <row r="18" spans="1:15" thickBot="1" x14ac:dyDescent="0.35">
      <c r="A18" s="118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119"/>
      <c r="O18" s="120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31496062992125984" right="0.31496062992125984" top="0.31496062992125984" bottom="0.39370078740157483" header="0.51181102362204722" footer="0.31496062992125984"/>
  <pageSetup paperSize="9" scale="66" fitToHeight="99" orientation="landscape" horizontalDpi="1200" verticalDpi="1200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2.5703125" style="103" customWidth="1"/>
    <col min="2" max="16384" width="11.5703125" style="103"/>
  </cols>
  <sheetData>
    <row r="1" spans="1:2" x14ac:dyDescent="0.3">
      <c r="A1" s="103" t="s">
        <v>88</v>
      </c>
      <c r="B1" s="60" t="str">
        <f>SU_02006</f>
        <v>SU_02006</v>
      </c>
    </row>
  </sheetData>
  <hyperlinks>
    <hyperlink ref="B1" location="SU_02006" display="SU_02006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90" zoomScaleNormal="9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28.7109375" style="103" customWidth="1"/>
    <col min="3" max="3" width="24.28515625" style="103" customWidth="1"/>
    <col min="4" max="8" width="11.5703125" style="103"/>
    <col min="9" max="9" width="15.28515625" style="103" customWidth="1"/>
    <col min="10" max="16" width="11.5703125" style="103"/>
    <col min="17" max="17" width="12.85546875" style="103" bestFit="1" customWidth="1"/>
    <col min="18" max="16384" width="11.5703125" style="103"/>
  </cols>
  <sheetData>
    <row r="1" spans="1:17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7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N12+I16</f>
        <v>0.47719727680000001</v>
      </c>
      <c r="O2" s="107"/>
    </row>
    <row r="3" spans="1:17" ht="14.45" x14ac:dyDescent="0.3">
      <c r="A3" s="377" t="s">
        <v>5</v>
      </c>
      <c r="B3" s="104" t="str">
        <f>'SU A0200'!B3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2</v>
      </c>
      <c r="O3" s="107"/>
    </row>
    <row r="4" spans="1:17" ht="14.45" x14ac:dyDescent="0.3">
      <c r="A4" s="377" t="s">
        <v>7</v>
      </c>
      <c r="B4" s="60" t="s">
        <v>265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7" ht="14.45" x14ac:dyDescent="0.3">
      <c r="A5" s="377" t="s">
        <v>17</v>
      </c>
      <c r="B5" s="134" t="s">
        <v>254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0.95439455360000003</v>
      </c>
      <c r="O5" s="107"/>
    </row>
    <row r="6" spans="1:17" ht="14.45" x14ac:dyDescent="0.3">
      <c r="A6" s="377" t="s">
        <v>9</v>
      </c>
      <c r="B6" s="109" t="s">
        <v>280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7" ht="14.45" x14ac:dyDescent="0.3">
      <c r="A7" s="377" t="s">
        <v>12</v>
      </c>
      <c r="B7" s="104"/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7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7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7" ht="14.45" x14ac:dyDescent="0.3">
      <c r="A10" s="417" t="s">
        <v>16</v>
      </c>
      <c r="B10" s="416" t="s">
        <v>38</v>
      </c>
      <c r="C10" s="416" t="s">
        <v>22</v>
      </c>
      <c r="D10" s="416" t="s">
        <v>23</v>
      </c>
      <c r="E10" s="416" t="s">
        <v>31</v>
      </c>
      <c r="F10" s="404" t="s">
        <v>32</v>
      </c>
      <c r="G10" s="404" t="s">
        <v>33</v>
      </c>
      <c r="H10" s="404" t="s">
        <v>34</v>
      </c>
      <c r="I10" s="404" t="s">
        <v>39</v>
      </c>
      <c r="J10" s="404" t="s">
        <v>40</v>
      </c>
      <c r="K10" s="404" t="s">
        <v>41</v>
      </c>
      <c r="L10" s="404" t="s">
        <v>42</v>
      </c>
      <c r="M10" s="404" t="s">
        <v>19</v>
      </c>
      <c r="N10" s="404" t="s">
        <v>20</v>
      </c>
      <c r="O10" s="84"/>
    </row>
    <row r="11" spans="1:17" s="298" customFormat="1" ht="28.9" customHeight="1" x14ac:dyDescent="0.3">
      <c r="A11" s="383">
        <v>10</v>
      </c>
      <c r="B11" s="446" t="s">
        <v>146</v>
      </c>
      <c r="C11" s="383" t="s">
        <v>147</v>
      </c>
      <c r="D11" s="205">
        <v>4.2</v>
      </c>
      <c r="E11" s="445">
        <v>12</v>
      </c>
      <c r="F11" s="383" t="s">
        <v>35</v>
      </c>
      <c r="G11" s="383"/>
      <c r="H11" s="206"/>
      <c r="I11" s="444" t="s">
        <v>252</v>
      </c>
      <c r="J11" s="443">
        <f>3.14*0.006^2</f>
        <v>1.1304E-4</v>
      </c>
      <c r="K11" s="442">
        <v>0.06</v>
      </c>
      <c r="L11" s="441">
        <v>2710</v>
      </c>
      <c r="M11" s="440">
        <v>1</v>
      </c>
      <c r="N11" s="230">
        <f>IF(J11="",D11*M11,D11*J11*K11*L11*M11)</f>
        <v>7.7197276800000006E-2</v>
      </c>
      <c r="O11" s="439"/>
    </row>
    <row r="12" spans="1:17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7.7197276800000006E-2</v>
      </c>
      <c r="O12" s="107"/>
    </row>
    <row r="13" spans="1:17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  <c r="Q13" s="364"/>
    </row>
    <row r="14" spans="1:17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7" ht="14.45" x14ac:dyDescent="0.3">
      <c r="A15" s="436">
        <v>10</v>
      </c>
      <c r="B15" s="227" t="s">
        <v>251</v>
      </c>
      <c r="C15" s="438"/>
      <c r="D15" s="437">
        <v>0.4</v>
      </c>
      <c r="E15" s="436" t="s">
        <v>76</v>
      </c>
      <c r="F15" s="436">
        <v>1</v>
      </c>
      <c r="G15" s="436"/>
      <c r="H15" s="436"/>
      <c r="I15" s="435">
        <f>IF(H15="",D15*F15,D15*F15*H15)</f>
        <v>0.4</v>
      </c>
      <c r="J15" s="400"/>
      <c r="K15" s="400"/>
      <c r="L15" s="400"/>
      <c r="M15" s="400"/>
      <c r="N15" s="400"/>
      <c r="O15" s="95"/>
    </row>
    <row r="16" spans="1:17" ht="14.45" x14ac:dyDescent="0.3">
      <c r="A16" s="114"/>
      <c r="B16" s="115"/>
      <c r="C16" s="115"/>
      <c r="D16" s="115"/>
      <c r="E16" s="115"/>
      <c r="F16" s="115"/>
      <c r="G16" s="115"/>
      <c r="H16" s="359" t="s">
        <v>20</v>
      </c>
      <c r="I16" s="358">
        <f>SUM(I15:I15)</f>
        <v>0.4</v>
      </c>
      <c r="J16" s="115"/>
      <c r="K16" s="115"/>
      <c r="L16" s="115"/>
      <c r="M16" s="115"/>
      <c r="N16" s="115"/>
      <c r="O16" s="107"/>
    </row>
    <row r="17" spans="1:15" thickBot="1" x14ac:dyDescent="0.35">
      <c r="A17" s="118"/>
      <c r="B17" s="119"/>
      <c r="C17" s="119"/>
      <c r="D17" s="119"/>
      <c r="E17" s="119"/>
      <c r="F17" s="119"/>
      <c r="G17" s="119"/>
      <c r="H17" s="119"/>
      <c r="I17" s="119"/>
      <c r="J17" s="119"/>
      <c r="K17" s="119"/>
      <c r="L17" s="119"/>
      <c r="M17" s="119"/>
      <c r="N17" s="119"/>
      <c r="O17" s="120"/>
    </row>
  </sheetData>
  <hyperlinks>
    <hyperlink ref="E3" location="'SU Drawing Part 6'!A1" display="Drawing"/>
    <hyperlink ref="B4" location="SU_A0200" display="Lower Front A-arm"/>
    <hyperlink ref="G2" location="SU_A0200_BOM" display="Back to BOM"/>
  </hyperlinks>
  <pageMargins left="0.31496062992125984" right="0.31496062992125984" top="0.31496062992125984" bottom="0.39370078740157483" header="0.51181102362204722" footer="0.31496062992125984"/>
  <pageSetup paperSize="9" scale="69" fitToHeight="99" orientation="landscape" horizontalDpi="1200" verticalDpi="1200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20" style="103" customWidth="1"/>
    <col min="2" max="16384" width="11.5703125" style="103"/>
  </cols>
  <sheetData>
    <row r="1" spans="1:2" x14ac:dyDescent="0.3">
      <c r="A1" s="103" t="s">
        <v>89</v>
      </c>
      <c r="B1" s="60" t="str">
        <f>SU_02007</f>
        <v>SU_02007</v>
      </c>
    </row>
  </sheetData>
  <hyperlinks>
    <hyperlink ref="B1" location="SU_02007" display="SU_02007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2" width="11.5703125" style="103"/>
    <col min="3" max="3" width="16.85546875" style="103" customWidth="1"/>
    <col min="4" max="6" width="11.5703125" style="103"/>
    <col min="7" max="7" width="13.140625" style="103" customWidth="1"/>
    <col min="8" max="8" width="11.5703125" style="103"/>
    <col min="9" max="9" width="13.7109375" style="103" customWidth="1"/>
    <col min="10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10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1.3868720000000001</v>
      </c>
      <c r="O2" s="451"/>
    </row>
    <row r="3" spans="1:15" ht="14.45" x14ac:dyDescent="0.3">
      <c r="A3" s="500" t="s">
        <v>5</v>
      </c>
      <c r="B3" s="104" t="str">
        <f>'SU A0200'!B3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60" t="s">
        <v>265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257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1.3868720000000001</v>
      </c>
      <c r="O5" s="451"/>
    </row>
    <row r="6" spans="1:15" ht="14.45" x14ac:dyDescent="0.3">
      <c r="A6" s="500" t="s">
        <v>9</v>
      </c>
      <c r="B6" s="503" t="s">
        <v>282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30" customHeight="1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4.5215999999999999E-2</v>
      </c>
      <c r="F11" s="491" t="s">
        <v>43</v>
      </c>
      <c r="G11" s="491"/>
      <c r="H11" s="488"/>
      <c r="I11" s="490" t="s">
        <v>281</v>
      </c>
      <c r="J11" s="489">
        <f>0.048*0.024</f>
        <v>1.152E-3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0.10173600000000001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2.3040000000000001E-3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2.3040000000000001E-2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0.12477600000000001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44.45" customHeight="1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474">
        <v>15.5</v>
      </c>
      <c r="G17" s="460"/>
      <c r="H17" s="459"/>
      <c r="I17" s="473">
        <f>IF(H17="",D17*F17,D17*F17*H17)</f>
        <v>0.155</v>
      </c>
      <c r="J17" s="470"/>
      <c r="K17" s="469"/>
      <c r="L17" s="469"/>
      <c r="M17" s="469"/>
      <c r="N17" s="469"/>
      <c r="O17" s="451"/>
    </row>
    <row r="18" spans="1:15" ht="43.15" x14ac:dyDescent="0.3">
      <c r="A18" s="464">
        <v>30</v>
      </c>
      <c r="B18" s="472" t="s">
        <v>81</v>
      </c>
      <c r="C18" s="466"/>
      <c r="D18" s="467">
        <v>0.65</v>
      </c>
      <c r="E18" s="466" t="s">
        <v>24</v>
      </c>
      <c r="F18" s="466">
        <v>1</v>
      </c>
      <c r="G18" s="471" t="s">
        <v>117</v>
      </c>
      <c r="H18" s="466">
        <v>0.5</v>
      </c>
      <c r="I18" s="458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x14ac:dyDescent="0.25">
      <c r="A19" s="468">
        <v>40</v>
      </c>
      <c r="B19" s="466" t="s">
        <v>80</v>
      </c>
      <c r="C19" s="466" t="s">
        <v>255</v>
      </c>
      <c r="D19" s="467">
        <v>0.04</v>
      </c>
      <c r="E19" s="466" t="s">
        <v>79</v>
      </c>
      <c r="F19" s="466">
        <v>1</v>
      </c>
      <c r="G19" s="466" t="s">
        <v>95</v>
      </c>
      <c r="H19" s="466">
        <v>3</v>
      </c>
      <c r="I19" s="458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ht="30" x14ac:dyDescent="0.25">
      <c r="A20" s="464">
        <v>50</v>
      </c>
      <c r="B20" s="460" t="s">
        <v>74</v>
      </c>
      <c r="C20" s="463" t="s">
        <v>123</v>
      </c>
      <c r="D20" s="462">
        <v>5.25</v>
      </c>
      <c r="E20" s="460" t="s">
        <v>73</v>
      </c>
      <c r="F20" s="461">
        <f>2*J11</f>
        <v>2.3040000000000001E-3</v>
      </c>
      <c r="G20" s="460"/>
      <c r="H20" s="459"/>
      <c r="I20" s="458">
        <f>F20*D20</f>
        <v>1.2096000000000001E-2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1.2620960000000001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B4" location="SU_A0200" display="Lower Front A-arm"/>
    <hyperlink ref="F2" location="SU_A0200_BOM" display="Back to BOM"/>
    <hyperlink ref="E3" location="dSU_02008" display="Drawing"/>
  </hyperlinks>
  <pageMargins left="0.31496062992125984" right="0.31496062992125984" top="0.31496062992125984" bottom="0.39370078740157483" header="0.51181102362204722" footer="0.31496062992125984"/>
  <pageSetup paperSize="9" scale="78" fitToHeight="99" orientation="landscape" horizontalDpi="1200" verticalDpi="1200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2.7109375" style="103" customWidth="1"/>
    <col min="2" max="16384" width="11.5703125" style="103"/>
  </cols>
  <sheetData>
    <row r="1" spans="1:2" x14ac:dyDescent="0.3">
      <c r="A1" s="103" t="s">
        <v>88</v>
      </c>
      <c r="B1" s="60" t="s">
        <v>282</v>
      </c>
    </row>
  </sheetData>
  <hyperlinks>
    <hyperlink ref="B1" location="SU_02008" display="SU_02008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8" width="11.5703125" style="103"/>
    <col min="9" max="9" width="14.140625" style="103" customWidth="1"/>
    <col min="10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10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1.4357435000000001</v>
      </c>
      <c r="O2" s="451"/>
    </row>
    <row r="3" spans="1:15" ht="14.45" x14ac:dyDescent="0.3">
      <c r="A3" s="500" t="s">
        <v>5</v>
      </c>
      <c r="B3" s="104" t="str">
        <f>'SU A0200'!B3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60" t="s">
        <v>265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259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1.4357435000000001</v>
      </c>
      <c r="O5" s="451"/>
    </row>
    <row r="6" spans="1:15" ht="14.45" x14ac:dyDescent="0.3">
      <c r="A6" s="500" t="s">
        <v>9</v>
      </c>
      <c r="B6" s="503" t="s">
        <v>284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30" customHeight="1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5.8717999999999999E-2</v>
      </c>
      <c r="F11" s="491" t="s">
        <v>43</v>
      </c>
      <c r="G11" s="491"/>
      <c r="H11" s="488"/>
      <c r="I11" s="490" t="s">
        <v>283</v>
      </c>
      <c r="J11" s="489">
        <f>0.068*0.022</f>
        <v>1.4959999999999999E-3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0.1321155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2.9919999999999999E-3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2.9919999999999999E-2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0.1620355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57.6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645">
        <v>16.3</v>
      </c>
      <c r="G17" s="481"/>
      <c r="H17" s="479"/>
      <c r="I17" s="478">
        <f>IF(H17="",D17*F17,D17*F17*H17)</f>
        <v>0.16300000000000001</v>
      </c>
      <c r="J17" s="470"/>
      <c r="K17" s="469"/>
      <c r="L17" s="469"/>
      <c r="M17" s="469"/>
      <c r="N17" s="469"/>
      <c r="O17" s="451"/>
    </row>
    <row r="18" spans="1:15" ht="43.15" x14ac:dyDescent="0.3">
      <c r="A18" s="464">
        <v>30</v>
      </c>
      <c r="B18" s="644" t="s">
        <v>81</v>
      </c>
      <c r="C18" s="642"/>
      <c r="D18" s="643">
        <v>0.65</v>
      </c>
      <c r="E18" s="642" t="s">
        <v>24</v>
      </c>
      <c r="F18" s="642">
        <v>1</v>
      </c>
      <c r="G18" s="480" t="s">
        <v>117</v>
      </c>
      <c r="H18" s="642">
        <v>0.5</v>
      </c>
      <c r="I18" s="641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x14ac:dyDescent="0.25">
      <c r="A19" s="468">
        <v>40</v>
      </c>
      <c r="B19" s="642" t="s">
        <v>80</v>
      </c>
      <c r="C19" s="642" t="s">
        <v>255</v>
      </c>
      <c r="D19" s="643">
        <v>0.04</v>
      </c>
      <c r="E19" s="642" t="s">
        <v>79</v>
      </c>
      <c r="F19" s="642">
        <v>1</v>
      </c>
      <c r="G19" s="642" t="s">
        <v>95</v>
      </c>
      <c r="H19" s="642">
        <v>3</v>
      </c>
      <c r="I19" s="641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ht="30" x14ac:dyDescent="0.25">
      <c r="A20" s="464">
        <v>50</v>
      </c>
      <c r="B20" s="481" t="s">
        <v>74</v>
      </c>
      <c r="C20" s="477" t="s">
        <v>123</v>
      </c>
      <c r="D20" s="520">
        <v>5.25</v>
      </c>
      <c r="E20" s="481" t="s">
        <v>73</v>
      </c>
      <c r="F20" s="519">
        <f>2*J11</f>
        <v>2.9919999999999999E-3</v>
      </c>
      <c r="G20" s="481"/>
      <c r="H20" s="479"/>
      <c r="I20" s="641">
        <f>F20*D20</f>
        <v>1.5708E-2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1.2737080000000001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B4" location="SU_A0200" display="Lower Front A-arm"/>
    <hyperlink ref="F2" location="SU_A0200_BOM" display="Back to BOM"/>
    <hyperlink ref="E3" location="dSU_02009" display="Drawing"/>
  </hyperlinks>
  <pageMargins left="0.31496062992125984" right="0.31496062992125984" top="0.31496062992125984" bottom="0.39370078740157483" header="0.51181102362204722" footer="0.31496062992125984"/>
  <pageSetup paperSize="9" scale="80" fitToHeight="99" orientation="landscape" horizontalDpi="1200" verticalDpi="1200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3" style="103" customWidth="1"/>
    <col min="2" max="16384" width="11.5703125" style="103"/>
  </cols>
  <sheetData>
    <row r="1" spans="1:2" x14ac:dyDescent="0.3">
      <c r="A1" s="103" t="s">
        <v>88</v>
      </c>
      <c r="B1" s="60" t="s">
        <v>284</v>
      </c>
    </row>
  </sheetData>
  <hyperlinks>
    <hyperlink ref="B1" location="SU_02009" display="SU_02009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89</v>
      </c>
      <c r="B1" s="60" t="str">
        <f>SU_01001</f>
        <v>SU_01001</v>
      </c>
    </row>
  </sheetData>
  <hyperlinks>
    <hyperlink ref="B1" location="SU_01001" display="SU_0100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8.140625" style="103" customWidth="1"/>
    <col min="3" max="6" width="11.5703125" style="103"/>
    <col min="7" max="7" width="16.140625" style="103" customWidth="1"/>
    <col min="8" max="8" width="11.5703125" style="103"/>
    <col min="9" max="9" width="13.42578125" style="103" customWidth="1"/>
    <col min="10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10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1.3315549999999998</v>
      </c>
      <c r="O2" s="451"/>
    </row>
    <row r="3" spans="1:15" ht="14.45" x14ac:dyDescent="0.3">
      <c r="A3" s="500" t="s">
        <v>5</v>
      </c>
      <c r="B3" s="104" t="str">
        <f>'SU A0200'!B3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60" t="s">
        <v>265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288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1.3315549999999998</v>
      </c>
      <c r="O5" s="451"/>
    </row>
    <row r="6" spans="1:15" ht="14.45" x14ac:dyDescent="0.3">
      <c r="A6" s="500" t="s">
        <v>9</v>
      </c>
      <c r="B6" s="503" t="s">
        <v>287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29.45" customHeight="1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3.4539999999999994E-2</v>
      </c>
      <c r="F11" s="491" t="s">
        <v>43</v>
      </c>
      <c r="G11" s="491"/>
      <c r="H11" s="488"/>
      <c r="I11" s="490" t="s">
        <v>286</v>
      </c>
      <c r="J11" s="489">
        <f>0.04*0.022</f>
        <v>8.7999999999999992E-4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7.7715000000000006E-2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1.7599999999999998E-3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1.7599999999999998E-2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9.5315000000000011E-2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43.9" customHeight="1" x14ac:dyDescent="0.3">
      <c r="A16" s="464">
        <v>10</v>
      </c>
      <c r="B16" s="481" t="s">
        <v>81</v>
      </c>
      <c r="C16" s="480" t="s">
        <v>285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645">
        <v>13.2</v>
      </c>
      <c r="G17" s="481"/>
      <c r="H17" s="479"/>
      <c r="I17" s="478">
        <f>IF(H17="",D17*F17,D17*F17*H17)</f>
        <v>0.13200000000000001</v>
      </c>
      <c r="J17" s="470"/>
      <c r="K17" s="469"/>
      <c r="L17" s="469"/>
      <c r="M17" s="469"/>
      <c r="N17" s="469"/>
      <c r="O17" s="451"/>
    </row>
    <row r="18" spans="1:15" ht="28.15" customHeight="1" x14ac:dyDescent="0.3">
      <c r="A18" s="464">
        <v>30</v>
      </c>
      <c r="B18" s="644" t="s">
        <v>81</v>
      </c>
      <c r="C18" s="642"/>
      <c r="D18" s="643">
        <v>0.65</v>
      </c>
      <c r="E18" s="642" t="s">
        <v>24</v>
      </c>
      <c r="F18" s="642">
        <v>1</v>
      </c>
      <c r="G18" s="480" t="s">
        <v>117</v>
      </c>
      <c r="H18" s="642">
        <v>0.5</v>
      </c>
      <c r="I18" s="641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ht="14.45" x14ac:dyDescent="0.3">
      <c r="A19" s="468">
        <v>40</v>
      </c>
      <c r="B19" s="642" t="s">
        <v>80</v>
      </c>
      <c r="C19" s="642" t="s">
        <v>255</v>
      </c>
      <c r="D19" s="643">
        <v>0.04</v>
      </c>
      <c r="E19" s="642" t="s">
        <v>79</v>
      </c>
      <c r="F19" s="642">
        <v>1</v>
      </c>
      <c r="G19" s="642" t="s">
        <v>95</v>
      </c>
      <c r="H19" s="642">
        <v>3</v>
      </c>
      <c r="I19" s="641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ht="26.45" customHeight="1" x14ac:dyDescent="0.25">
      <c r="A20" s="464">
        <v>50</v>
      </c>
      <c r="B20" s="481" t="s">
        <v>74</v>
      </c>
      <c r="C20" s="646" t="s">
        <v>123</v>
      </c>
      <c r="D20" s="520">
        <v>5.25</v>
      </c>
      <c r="E20" s="481" t="s">
        <v>73</v>
      </c>
      <c r="F20" s="519">
        <f>2*J11</f>
        <v>1.7599999999999998E-3</v>
      </c>
      <c r="G20" s="481"/>
      <c r="H20" s="479"/>
      <c r="I20" s="641">
        <f>F20*D20</f>
        <v>9.2399999999999999E-3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1.2362399999999998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B4" location="SU_A0200" display="Lower Front A-arm"/>
    <hyperlink ref="F2" location="SU_A0200_BOM" display="Back to BOM"/>
    <hyperlink ref="E3" location="dSU_02010" display="Drawing"/>
  </hyperlinks>
  <pageMargins left="0.31496062992125984" right="0.31496062992125984" top="0.31496062992125984" bottom="0.39370078740157483" header="0.51181102362204722" footer="0.31496062992125984"/>
  <pageSetup paperSize="9" scale="77" fitToHeight="99" orientation="landscape" horizontalDpi="1200" verticalDpi="1200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287</v>
      </c>
    </row>
  </sheetData>
  <hyperlinks>
    <hyperlink ref="B1" location="SU_02010" display="SU_02010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6" width="11.5703125" style="103"/>
    <col min="7" max="7" width="13.42578125" style="103" customWidth="1"/>
    <col min="8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10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1.41506025</v>
      </c>
      <c r="O2" s="451"/>
    </row>
    <row r="3" spans="1:15" ht="14.45" x14ac:dyDescent="0.3">
      <c r="A3" s="500" t="s">
        <v>5</v>
      </c>
      <c r="B3" s="104" t="str">
        <f>'SU A0200'!B3</f>
        <v>Suspension &amp; Shocks</v>
      </c>
      <c r="C3" s="509"/>
      <c r="D3" s="420" t="s">
        <v>8</v>
      </c>
      <c r="E3" s="433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60" t="s">
        <v>265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263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1.41506025</v>
      </c>
      <c r="O5" s="451"/>
    </row>
    <row r="6" spans="1:15" ht="14.45" x14ac:dyDescent="0.3">
      <c r="A6" s="500" t="s">
        <v>9</v>
      </c>
      <c r="B6" s="503" t="s">
        <v>289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28.9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5.3537000000000001E-2</v>
      </c>
      <c r="F11" s="491" t="s">
        <v>43</v>
      </c>
      <c r="G11" s="491"/>
      <c r="H11" s="488"/>
      <c r="I11" s="490" t="s">
        <v>83</v>
      </c>
      <c r="J11" s="489">
        <f>0.062*0.022</f>
        <v>1.364E-3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0.12045825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2.728E-3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2.7279999999999999E-2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0.14773825000000002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57.6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645">
        <v>15.8</v>
      </c>
      <c r="G17" s="481"/>
      <c r="H17" s="479"/>
      <c r="I17" s="478">
        <f>IF(H17="",D17*F17,D17*F17*H17)</f>
        <v>0.158</v>
      </c>
      <c r="J17" s="470"/>
      <c r="K17" s="469"/>
      <c r="L17" s="469"/>
      <c r="M17" s="469"/>
      <c r="N17" s="469"/>
      <c r="O17" s="451"/>
    </row>
    <row r="18" spans="1:15" ht="43.15" x14ac:dyDescent="0.3">
      <c r="A18" s="464">
        <v>30</v>
      </c>
      <c r="B18" s="644" t="s">
        <v>81</v>
      </c>
      <c r="C18" s="642"/>
      <c r="D18" s="643">
        <v>0.65</v>
      </c>
      <c r="E18" s="642" t="s">
        <v>24</v>
      </c>
      <c r="F18" s="642">
        <v>1</v>
      </c>
      <c r="G18" s="480" t="s">
        <v>117</v>
      </c>
      <c r="H18" s="642">
        <v>0.5</v>
      </c>
      <c r="I18" s="641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x14ac:dyDescent="0.25">
      <c r="A19" s="468">
        <v>40</v>
      </c>
      <c r="B19" s="642" t="s">
        <v>80</v>
      </c>
      <c r="C19" s="642" t="s">
        <v>255</v>
      </c>
      <c r="D19" s="643">
        <v>0.04</v>
      </c>
      <c r="E19" s="642" t="s">
        <v>79</v>
      </c>
      <c r="F19" s="642">
        <v>1</v>
      </c>
      <c r="G19" s="642" t="s">
        <v>95</v>
      </c>
      <c r="H19" s="642">
        <v>3</v>
      </c>
      <c r="I19" s="641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ht="30" x14ac:dyDescent="0.25">
      <c r="A20" s="464">
        <v>50</v>
      </c>
      <c r="B20" s="481" t="s">
        <v>74</v>
      </c>
      <c r="C20" s="477" t="s">
        <v>123</v>
      </c>
      <c r="D20" s="520">
        <v>5.25</v>
      </c>
      <c r="E20" s="481" t="s">
        <v>73</v>
      </c>
      <c r="F20" s="519">
        <f>2*J11</f>
        <v>2.728E-3</v>
      </c>
      <c r="G20" s="481"/>
      <c r="H20" s="479"/>
      <c r="I20" s="641">
        <f>F20*D20</f>
        <v>1.4322E-2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1.2673220000000001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B4" location="SU_A0200" display="Lower Front A-arm"/>
    <hyperlink ref="F2" location="SU_A0200_BOM" display="Back to BOM"/>
    <hyperlink ref="E3" location="dSU_01007" display="Drawing"/>
  </hyperlinks>
  <pageMargins left="0.31496062992125984" right="0.31496062992125984" top="0.31496062992125984" bottom="0.39370078740157483" header="0.51181102362204722" footer="0.31496062992125984"/>
  <pageSetup paperSize="9" scale="80" fitToHeight="99" orientation="landscape" horizontalDpi="1200" verticalDpi="1200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1" x14ac:dyDescent="0.3">
      <c r="A1" s="103" t="s">
        <v>151</v>
      </c>
    </row>
  </sheetData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4"/>
  <sheetViews>
    <sheetView zoomScaleNormal="100" zoomScaleSheetLayoutView="8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647"/>
    <col min="2" max="2" width="57.140625" style="647" customWidth="1"/>
    <col min="3" max="3" width="55.7109375" style="647" customWidth="1"/>
    <col min="4" max="4" width="9.140625" style="647"/>
    <col min="5" max="5" width="9.5703125" style="647" customWidth="1"/>
    <col min="6" max="13" width="9.140625" style="647"/>
    <col min="14" max="14" width="11.5703125" style="647" customWidth="1"/>
    <col min="15" max="15" width="5.28515625" style="647" customWidth="1"/>
    <col min="16" max="16384" width="9.140625" style="647"/>
  </cols>
  <sheetData>
    <row r="1" spans="1:15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5" ht="14.45" x14ac:dyDescent="0.3">
      <c r="A2" s="669" t="s">
        <v>0</v>
      </c>
      <c r="B2" s="684" t="s">
        <v>1</v>
      </c>
      <c r="C2" s="648"/>
      <c r="D2" s="648"/>
      <c r="E2" s="58" t="s">
        <v>2</v>
      </c>
      <c r="F2" s="648"/>
      <c r="G2" s="648"/>
      <c r="H2" s="648"/>
      <c r="I2" s="648"/>
      <c r="J2" s="669" t="s">
        <v>3</v>
      </c>
      <c r="K2" s="687">
        <v>81</v>
      </c>
      <c r="L2" s="648"/>
      <c r="M2" s="669" t="s">
        <v>4</v>
      </c>
      <c r="N2" s="59">
        <f>SU_A0300_pa+SU_A0300_m+SU_A0300_p+SU_A0300_f</f>
        <v>76.389660206225173</v>
      </c>
      <c r="O2" s="652"/>
    </row>
    <row r="3" spans="1:15" ht="14.45" x14ac:dyDescent="0.3">
      <c r="A3" s="669" t="s">
        <v>5</v>
      </c>
      <c r="B3" s="684" t="s">
        <v>106</v>
      </c>
      <c r="C3" s="648"/>
      <c r="D3" s="648"/>
      <c r="E3" s="648"/>
      <c r="F3" s="648"/>
      <c r="G3" s="648"/>
      <c r="H3" s="648"/>
      <c r="I3" s="648"/>
      <c r="J3" s="648"/>
      <c r="K3" s="648"/>
      <c r="L3" s="648"/>
      <c r="M3" s="669" t="s">
        <v>6</v>
      </c>
      <c r="N3" s="47">
        <v>2</v>
      </c>
      <c r="O3" s="652"/>
    </row>
    <row r="4" spans="1:15" ht="14.45" x14ac:dyDescent="0.3">
      <c r="A4" s="669" t="s">
        <v>7</v>
      </c>
      <c r="B4" s="680" t="s">
        <v>291</v>
      </c>
      <c r="C4" s="648"/>
      <c r="D4" s="648"/>
      <c r="E4" s="648"/>
      <c r="F4" s="648"/>
      <c r="G4" s="648"/>
      <c r="H4" s="648"/>
      <c r="I4" s="648"/>
      <c r="J4" s="685" t="s">
        <v>8</v>
      </c>
      <c r="K4" s="648"/>
      <c r="L4" s="648"/>
      <c r="M4" s="648"/>
      <c r="N4" s="648"/>
      <c r="O4" s="652"/>
    </row>
    <row r="5" spans="1:15" ht="14.45" x14ac:dyDescent="0.3">
      <c r="A5" s="669" t="s">
        <v>9</v>
      </c>
      <c r="B5" s="686" t="s">
        <v>290</v>
      </c>
      <c r="C5" s="648"/>
      <c r="D5" s="648"/>
      <c r="E5" s="648"/>
      <c r="F5" s="648"/>
      <c r="G5" s="648"/>
      <c r="H5" s="648"/>
      <c r="I5" s="648"/>
      <c r="J5" s="685" t="s">
        <v>10</v>
      </c>
      <c r="K5" s="648"/>
      <c r="L5" s="648"/>
      <c r="M5" s="669" t="s">
        <v>11</v>
      </c>
      <c r="N5" s="46">
        <f>N2*N3</f>
        <v>152.77932041245035</v>
      </c>
      <c r="O5" s="652"/>
    </row>
    <row r="6" spans="1:15" ht="14.45" x14ac:dyDescent="0.3">
      <c r="A6" s="669" t="s">
        <v>12</v>
      </c>
      <c r="B6" s="684"/>
      <c r="C6" s="648"/>
      <c r="D6" s="648"/>
      <c r="E6" s="648"/>
      <c r="F6" s="648"/>
      <c r="G6" s="648"/>
      <c r="H6" s="648"/>
      <c r="I6" s="648"/>
      <c r="J6" s="685" t="s">
        <v>14</v>
      </c>
      <c r="K6" s="648"/>
      <c r="L6" s="648"/>
      <c r="M6" s="648"/>
      <c r="N6" s="648"/>
      <c r="O6" s="652"/>
    </row>
    <row r="7" spans="1:15" ht="14.45" x14ac:dyDescent="0.3">
      <c r="A7" s="669" t="s">
        <v>15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5" ht="14.45" x14ac:dyDescent="0.3">
      <c r="A8" s="653"/>
      <c r="B8" s="648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5" ht="14.45" x14ac:dyDescent="0.3">
      <c r="A9" s="669" t="s">
        <v>16</v>
      </c>
      <c r="B9" s="669" t="s">
        <v>17</v>
      </c>
      <c r="C9" s="669" t="s">
        <v>18</v>
      </c>
      <c r="D9" s="669" t="s">
        <v>19</v>
      </c>
      <c r="E9" s="669" t="s">
        <v>20</v>
      </c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5" ht="14.45" x14ac:dyDescent="0.3">
      <c r="A10" s="673">
        <v>10</v>
      </c>
      <c r="B10" s="57" t="str">
        <f>'SU 03001'!B5</f>
        <v>Upper Back Bearing Support</v>
      </c>
      <c r="C10" s="46">
        <f>'SU 03001'!N2</f>
        <v>16.4854905344</v>
      </c>
      <c r="D10" s="683">
        <f>SU_03001_q</f>
        <v>1</v>
      </c>
      <c r="E10" s="46">
        <f t="shared" ref="E10:E20" si="0">C10*D10</f>
        <v>16.4854905344</v>
      </c>
      <c r="F10" s="648"/>
      <c r="G10" s="648"/>
      <c r="H10" s="648"/>
      <c r="I10" s="648"/>
      <c r="J10" s="648"/>
      <c r="K10" s="648"/>
      <c r="L10" s="648"/>
      <c r="M10" s="648"/>
      <c r="N10" s="648"/>
      <c r="O10" s="652"/>
    </row>
    <row r="11" spans="1:15" ht="14.45" x14ac:dyDescent="0.3">
      <c r="A11" s="673">
        <v>20</v>
      </c>
      <c r="B11" s="57" t="str">
        <f>'SU 03002'!B5</f>
        <v>Inner Bearing Support</v>
      </c>
      <c r="C11" s="46">
        <f>'SU 03002'!N2</f>
        <v>1.8728805440000003</v>
      </c>
      <c r="D11" s="683">
        <f>SU_03002_q</f>
        <v>2</v>
      </c>
      <c r="E11" s="46">
        <f t="shared" si="0"/>
        <v>3.7457610880000005</v>
      </c>
      <c r="F11" s="680"/>
      <c r="G11" s="680"/>
      <c r="H11" s="680"/>
      <c r="I11" s="680"/>
      <c r="J11" s="680"/>
      <c r="K11" s="680"/>
      <c r="L11" s="680"/>
      <c r="M11" s="680"/>
      <c r="N11" s="680"/>
      <c r="O11" s="652"/>
    </row>
    <row r="12" spans="1:15" ht="14.45" x14ac:dyDescent="0.3">
      <c r="A12" s="673">
        <v>30</v>
      </c>
      <c r="B12" s="57" t="str">
        <f>'SU 03003'!B5</f>
        <v>Upper Back A-arm tube (Front)  Carbon Fiber Tube</v>
      </c>
      <c r="C12" s="46">
        <f>'SU 03003'!N2</f>
        <v>10.876934879999999</v>
      </c>
      <c r="D12" s="683">
        <f>SU_03003_q</f>
        <v>1</v>
      </c>
      <c r="E12" s="46">
        <f t="shared" si="0"/>
        <v>10.876934879999999</v>
      </c>
      <c r="F12" s="680"/>
      <c r="G12" s="680"/>
      <c r="H12" s="680"/>
      <c r="I12" s="680"/>
      <c r="J12" s="680"/>
      <c r="K12" s="680"/>
      <c r="L12" s="680"/>
      <c r="M12" s="680"/>
      <c r="N12" s="680"/>
      <c r="O12" s="55"/>
    </row>
    <row r="13" spans="1:15" s="681" customFormat="1" ht="14.45" x14ac:dyDescent="0.3">
      <c r="A13" s="673">
        <v>40</v>
      </c>
      <c r="B13" s="57" t="str">
        <f>'SU 03004'!B5</f>
        <v>Upper Back A-arm tube (Back)  Carbon Fiber Tube</v>
      </c>
      <c r="C13" s="46">
        <f>'SU 03004'!N2</f>
        <v>4.3445228399999989</v>
      </c>
      <c r="D13" s="683">
        <f>SU_03004_q</f>
        <v>1</v>
      </c>
      <c r="E13" s="46">
        <f t="shared" si="0"/>
        <v>4.3445228399999989</v>
      </c>
      <c r="F13" s="680"/>
      <c r="G13" s="680"/>
      <c r="H13" s="680"/>
      <c r="I13" s="680"/>
      <c r="J13" s="680"/>
      <c r="K13" s="680"/>
      <c r="L13" s="680"/>
      <c r="M13" s="680"/>
      <c r="N13" s="680"/>
      <c r="O13" s="55"/>
    </row>
    <row r="14" spans="1:15" s="681" customFormat="1" ht="14.45" x14ac:dyDescent="0.3">
      <c r="A14" s="673">
        <v>50</v>
      </c>
      <c r="B14" s="57" t="str">
        <f>'SU 03005'!B5</f>
        <v>Spacer 1</v>
      </c>
      <c r="C14" s="46">
        <f>'SU 03005'!N2</f>
        <v>0.7197472800000001</v>
      </c>
      <c r="D14" s="683">
        <f>SU_03005_q</f>
        <v>2</v>
      </c>
      <c r="E14" s="46">
        <f t="shared" si="0"/>
        <v>1.4394945600000002</v>
      </c>
      <c r="F14" s="680"/>
      <c r="G14" s="680"/>
      <c r="H14" s="680"/>
      <c r="I14" s="680"/>
      <c r="J14" s="680"/>
      <c r="K14" s="680"/>
      <c r="L14" s="680"/>
      <c r="M14" s="680"/>
      <c r="N14" s="680"/>
      <c r="O14" s="682"/>
    </row>
    <row r="15" spans="1:15" s="681" customFormat="1" ht="14.45" x14ac:dyDescent="0.3">
      <c r="A15" s="673">
        <v>60</v>
      </c>
      <c r="B15" s="57" t="str">
        <f>'SU 03006'!B5</f>
        <v>Spacer 2</v>
      </c>
      <c r="C15" s="46">
        <f>'SU 03006'!N2</f>
        <v>0.32421353411764708</v>
      </c>
      <c r="D15" s="683">
        <f>SU_03006_q</f>
        <v>4</v>
      </c>
      <c r="E15" s="46">
        <f t="shared" si="0"/>
        <v>1.2968541364705883</v>
      </c>
      <c r="F15" s="680"/>
      <c r="G15" s="680"/>
      <c r="H15" s="680"/>
      <c r="I15" s="680"/>
      <c r="J15" s="680"/>
      <c r="K15" s="680"/>
      <c r="L15" s="680"/>
      <c r="M15" s="680"/>
      <c r="N15" s="680"/>
      <c r="O15" s="682"/>
    </row>
    <row r="16" spans="1:15" s="681" customFormat="1" ht="14.45" x14ac:dyDescent="0.3">
      <c r="A16" s="673">
        <v>70</v>
      </c>
      <c r="B16" s="57" t="str">
        <f>'SU 03007'!B5</f>
        <v>Outboard A-arm Insert</v>
      </c>
      <c r="C16" s="46">
        <f>'SU 03007'!N2</f>
        <v>0.47719727680000001</v>
      </c>
      <c r="D16" s="683">
        <f>SU_03007_q</f>
        <v>2</v>
      </c>
      <c r="E16" s="46">
        <f t="shared" si="0"/>
        <v>0.95439455360000003</v>
      </c>
      <c r="F16" s="680"/>
      <c r="G16" s="680"/>
      <c r="H16" s="680"/>
      <c r="I16" s="680"/>
      <c r="J16" s="680"/>
      <c r="K16" s="680"/>
      <c r="L16" s="680"/>
      <c r="M16" s="680"/>
      <c r="N16" s="680"/>
      <c r="O16" s="682"/>
    </row>
    <row r="17" spans="1:15" s="149" customFormat="1" ht="14.45" x14ac:dyDescent="0.3">
      <c r="A17" s="578">
        <v>80</v>
      </c>
      <c r="B17" s="583" t="str">
        <f>'SU 03008'!B5</f>
        <v>Front up bracket</v>
      </c>
      <c r="C17" s="581">
        <f>'SU 03008'!N2</f>
        <v>1.4969516249999999</v>
      </c>
      <c r="D17" s="582">
        <f>SU_03008_q</f>
        <v>1</v>
      </c>
      <c r="E17" s="581">
        <f t="shared" si="0"/>
        <v>1.4969516249999999</v>
      </c>
      <c r="F17" s="80"/>
      <c r="G17" s="80"/>
      <c r="H17" s="80"/>
      <c r="I17" s="80"/>
      <c r="J17" s="80"/>
      <c r="K17" s="80"/>
      <c r="L17" s="80"/>
      <c r="M17" s="80"/>
      <c r="N17" s="80"/>
      <c r="O17" s="84"/>
    </row>
    <row r="18" spans="1:15" s="149" customFormat="1" ht="14.45" x14ac:dyDescent="0.3">
      <c r="A18" s="578">
        <v>90</v>
      </c>
      <c r="B18" s="583" t="str">
        <f>'SU 03009'!B5</f>
        <v>Front down bracket</v>
      </c>
      <c r="C18" s="581">
        <f>'SU 03009'!N2</f>
        <v>1.49211</v>
      </c>
      <c r="D18" s="582">
        <f>SU_03009_q</f>
        <v>1</v>
      </c>
      <c r="E18" s="581">
        <f t="shared" si="0"/>
        <v>1.49211</v>
      </c>
      <c r="F18" s="80"/>
      <c r="G18" s="80"/>
      <c r="H18" s="80"/>
      <c r="I18" s="80"/>
      <c r="J18" s="80"/>
      <c r="K18" s="80"/>
      <c r="L18" s="80"/>
      <c r="M18" s="80"/>
      <c r="N18" s="80"/>
      <c r="O18" s="84"/>
    </row>
    <row r="19" spans="1:15" s="149" customFormat="1" ht="14.45" x14ac:dyDescent="0.3">
      <c r="A19" s="578">
        <v>100</v>
      </c>
      <c r="B19" s="583" t="str">
        <f>'SU 03010'!B5</f>
        <v>Rear up bracket</v>
      </c>
      <c r="C19" s="581">
        <f>'SU 03010'!N2</f>
        <v>1.2680301249999999</v>
      </c>
      <c r="D19" s="582">
        <f>SU_03010_q</f>
        <v>1</v>
      </c>
      <c r="E19" s="581">
        <f t="shared" si="0"/>
        <v>1.2680301249999999</v>
      </c>
      <c r="F19" s="80"/>
      <c r="G19" s="80"/>
      <c r="H19" s="80"/>
      <c r="I19" s="80"/>
      <c r="J19" s="80"/>
      <c r="K19" s="80"/>
      <c r="L19" s="80"/>
      <c r="M19" s="80"/>
      <c r="N19" s="80"/>
      <c r="O19" s="84"/>
    </row>
    <row r="20" spans="1:15" s="149" customFormat="1" ht="14.45" x14ac:dyDescent="0.3">
      <c r="A20" s="578">
        <v>110</v>
      </c>
      <c r="B20" s="583" t="str">
        <f>'SU 03011'!B5</f>
        <v>Rear down bracket</v>
      </c>
      <c r="C20" s="581">
        <f>'SU 03011'!N2</f>
        <v>1.3787631249999999</v>
      </c>
      <c r="D20" s="582">
        <f>SU_03011_q</f>
        <v>1</v>
      </c>
      <c r="E20" s="581">
        <f t="shared" si="0"/>
        <v>1.3787631249999999</v>
      </c>
      <c r="F20" s="80"/>
      <c r="G20" s="80"/>
      <c r="H20" s="80"/>
      <c r="I20" s="80"/>
      <c r="J20" s="80"/>
      <c r="K20" s="80"/>
      <c r="L20" s="80"/>
      <c r="M20" s="80"/>
      <c r="N20" s="80"/>
      <c r="O20" s="84"/>
    </row>
    <row r="21" spans="1:15" ht="14.45" x14ac:dyDescent="0.3">
      <c r="A21" s="653"/>
      <c r="B21" s="648"/>
      <c r="C21" s="648"/>
      <c r="D21" s="655" t="s">
        <v>20</v>
      </c>
      <c r="E21" s="654">
        <f>SUM(E10:E16)</f>
        <v>39.143452592470581</v>
      </c>
      <c r="F21" s="680"/>
      <c r="G21" s="680"/>
      <c r="H21" s="680"/>
      <c r="I21" s="680"/>
      <c r="J21" s="680"/>
      <c r="K21" s="680"/>
      <c r="L21" s="680"/>
      <c r="M21" s="680"/>
      <c r="N21" s="680"/>
      <c r="O21" s="652"/>
    </row>
    <row r="22" spans="1:15" ht="14.45" x14ac:dyDescent="0.3">
      <c r="A22" s="653"/>
      <c r="B22" s="648"/>
      <c r="C22" s="648"/>
      <c r="D22" s="648"/>
      <c r="E22" s="648"/>
      <c r="F22" s="648"/>
      <c r="G22" s="648"/>
      <c r="H22" s="648"/>
      <c r="I22" s="648"/>
      <c r="J22" s="648"/>
      <c r="K22" s="648"/>
      <c r="L22" s="648"/>
      <c r="M22" s="648"/>
      <c r="N22" s="648"/>
      <c r="O22" s="652"/>
    </row>
    <row r="23" spans="1:15" ht="14.45" x14ac:dyDescent="0.3">
      <c r="A23" s="669" t="s">
        <v>16</v>
      </c>
      <c r="B23" s="669" t="s">
        <v>38</v>
      </c>
      <c r="C23" s="669" t="s">
        <v>22</v>
      </c>
      <c r="D23" s="669" t="s">
        <v>23</v>
      </c>
      <c r="E23" s="669" t="s">
        <v>31</v>
      </c>
      <c r="F23" s="669" t="s">
        <v>32</v>
      </c>
      <c r="G23" s="669" t="s">
        <v>33</v>
      </c>
      <c r="H23" s="669" t="s">
        <v>34</v>
      </c>
      <c r="I23" s="669" t="s">
        <v>39</v>
      </c>
      <c r="J23" s="669" t="s">
        <v>40</v>
      </c>
      <c r="K23" s="669" t="s">
        <v>41</v>
      </c>
      <c r="L23" s="669" t="s">
        <v>42</v>
      </c>
      <c r="M23" s="669" t="s">
        <v>19</v>
      </c>
      <c r="N23" s="669" t="s">
        <v>20</v>
      </c>
      <c r="O23" s="652"/>
    </row>
    <row r="24" spans="1:15" ht="14.45" customHeight="1" x14ac:dyDescent="0.25">
      <c r="A24" s="673">
        <v>10</v>
      </c>
      <c r="B24" s="673" t="s">
        <v>217</v>
      </c>
      <c r="C24" s="673"/>
      <c r="D24" s="347">
        <f>0.03*E24^2+5</f>
        <v>6.92</v>
      </c>
      <c r="E24" s="673">
        <v>8</v>
      </c>
      <c r="F24" s="673" t="s">
        <v>35</v>
      </c>
      <c r="G24" s="673"/>
      <c r="H24" s="53"/>
      <c r="I24" s="679"/>
      <c r="J24" s="54"/>
      <c r="K24" s="53"/>
      <c r="L24" s="53"/>
      <c r="M24" s="66">
        <v>3</v>
      </c>
      <c r="N24" s="46">
        <f>M24*D24</f>
        <v>20.759999999999998</v>
      </c>
      <c r="O24" s="652"/>
    </row>
    <row r="25" spans="1:15" s="675" customFormat="1" ht="14.45" customHeight="1" x14ac:dyDescent="0.25">
      <c r="A25" s="673">
        <v>20</v>
      </c>
      <c r="B25" s="662" t="s">
        <v>44</v>
      </c>
      <c r="C25" s="674" t="s">
        <v>216</v>
      </c>
      <c r="D25" s="46"/>
      <c r="E25" s="678"/>
      <c r="F25" s="678"/>
      <c r="G25" s="678"/>
      <c r="H25" s="53"/>
      <c r="I25" s="677"/>
      <c r="J25" s="69"/>
      <c r="K25" s="68"/>
      <c r="L25" s="672"/>
      <c r="M25" s="67"/>
      <c r="N25" s="46">
        <f>M25*D25</f>
        <v>0</v>
      </c>
      <c r="O25" s="676"/>
    </row>
    <row r="26" spans="1:15" ht="14.45" customHeight="1" x14ac:dyDescent="0.25">
      <c r="A26" s="673">
        <v>30</v>
      </c>
      <c r="B26" s="662" t="s">
        <v>44</v>
      </c>
      <c r="C26" s="674" t="s">
        <v>215</v>
      </c>
      <c r="D26" s="46"/>
      <c r="E26" s="673"/>
      <c r="F26" s="673"/>
      <c r="G26" s="673"/>
      <c r="H26" s="53"/>
      <c r="I26" s="67"/>
      <c r="J26" s="66"/>
      <c r="K26" s="53"/>
      <c r="L26" s="672"/>
      <c r="M26" s="53"/>
      <c r="N26" s="46">
        <f>M26*D26</f>
        <v>0</v>
      </c>
      <c r="O26" s="652"/>
    </row>
    <row r="27" spans="1:15" x14ac:dyDescent="0.25">
      <c r="A27" s="657"/>
      <c r="B27" s="656"/>
      <c r="C27" s="656"/>
      <c r="D27" s="656"/>
      <c r="E27" s="656"/>
      <c r="F27" s="656"/>
      <c r="G27" s="656"/>
      <c r="H27" s="656"/>
      <c r="I27" s="656"/>
      <c r="J27" s="656"/>
      <c r="K27" s="656"/>
      <c r="L27" s="656"/>
      <c r="M27" s="669" t="s">
        <v>20</v>
      </c>
      <c r="N27" s="654">
        <f>SUM(N24:N26)</f>
        <v>20.759999999999998</v>
      </c>
      <c r="O27" s="652"/>
    </row>
    <row r="28" spans="1:15" x14ac:dyDescent="0.25">
      <c r="A28" s="653"/>
      <c r="B28" s="648"/>
      <c r="C28" s="648"/>
      <c r="D28" s="648"/>
      <c r="E28" s="648"/>
      <c r="F28" s="648"/>
      <c r="G28" s="648"/>
      <c r="H28" s="648"/>
      <c r="I28" s="648"/>
      <c r="J28" s="648"/>
      <c r="K28" s="648"/>
      <c r="L28" s="648"/>
      <c r="M28" s="648"/>
      <c r="N28" s="648"/>
      <c r="O28" s="652"/>
    </row>
    <row r="29" spans="1:15" s="670" customFormat="1" x14ac:dyDescent="0.25">
      <c r="A29" s="669" t="s">
        <v>16</v>
      </c>
      <c r="B29" s="669" t="s">
        <v>21</v>
      </c>
      <c r="C29" s="669" t="s">
        <v>22</v>
      </c>
      <c r="D29" s="669" t="s">
        <v>23</v>
      </c>
      <c r="E29" s="669" t="s">
        <v>24</v>
      </c>
      <c r="F29" s="669" t="s">
        <v>19</v>
      </c>
      <c r="G29" s="669" t="s">
        <v>25</v>
      </c>
      <c r="H29" s="669" t="s">
        <v>26</v>
      </c>
      <c r="I29" s="669" t="s">
        <v>20</v>
      </c>
      <c r="J29" s="656"/>
      <c r="K29" s="656"/>
      <c r="L29" s="656"/>
      <c r="M29" s="656"/>
      <c r="N29" s="656"/>
      <c r="O29" s="671"/>
    </row>
    <row r="30" spans="1:15" s="298" customFormat="1" x14ac:dyDescent="0.25">
      <c r="A30" s="305">
        <v>10</v>
      </c>
      <c r="B30" s="177" t="s">
        <v>131</v>
      </c>
      <c r="C30" s="326" t="s">
        <v>214</v>
      </c>
      <c r="D30" s="185">
        <v>0.02</v>
      </c>
      <c r="E30" s="305" t="s">
        <v>133</v>
      </c>
      <c r="F30" s="323">
        <v>8.66</v>
      </c>
      <c r="G30" s="323" t="s">
        <v>204</v>
      </c>
      <c r="H30" s="323">
        <v>2</v>
      </c>
      <c r="I30" s="185">
        <f t="shared" ref="I30:I51" si="1">IF(H30="",D30*F30,D30*F30*H30)</f>
        <v>0.34639999999999999</v>
      </c>
      <c r="J30" s="301"/>
      <c r="K30" s="301"/>
      <c r="L30" s="301"/>
      <c r="M30" s="301"/>
      <c r="N30" s="301"/>
      <c r="O30" s="325"/>
    </row>
    <row r="31" spans="1:15" s="298" customFormat="1" x14ac:dyDescent="0.25">
      <c r="A31" s="305">
        <v>20</v>
      </c>
      <c r="B31" s="177" t="s">
        <v>113</v>
      </c>
      <c r="C31" s="326" t="s">
        <v>213</v>
      </c>
      <c r="D31" s="185">
        <v>0.02</v>
      </c>
      <c r="E31" s="305" t="s">
        <v>133</v>
      </c>
      <c r="F31" s="323">
        <v>8.66</v>
      </c>
      <c r="G31" s="323" t="s">
        <v>204</v>
      </c>
      <c r="H31" s="323">
        <v>2</v>
      </c>
      <c r="I31" s="185">
        <f t="shared" si="1"/>
        <v>0.34639999999999999</v>
      </c>
      <c r="J31" s="300"/>
      <c r="K31" s="300"/>
      <c r="L31" s="300"/>
      <c r="M31" s="300"/>
      <c r="N31" s="300"/>
      <c r="O31" s="299"/>
    </row>
    <row r="32" spans="1:15" s="298" customFormat="1" x14ac:dyDescent="0.25">
      <c r="A32" s="305">
        <v>30</v>
      </c>
      <c r="B32" s="177" t="s">
        <v>131</v>
      </c>
      <c r="C32" s="326" t="s">
        <v>212</v>
      </c>
      <c r="D32" s="185">
        <v>0.02</v>
      </c>
      <c r="E32" s="305" t="s">
        <v>133</v>
      </c>
      <c r="F32" s="323">
        <v>8.66</v>
      </c>
      <c r="G32" s="323" t="s">
        <v>204</v>
      </c>
      <c r="H32" s="323">
        <v>2</v>
      </c>
      <c r="I32" s="185">
        <f t="shared" si="1"/>
        <v>0.34639999999999999</v>
      </c>
      <c r="J32" s="301"/>
      <c r="K32" s="301"/>
      <c r="L32" s="301"/>
      <c r="M32" s="301"/>
      <c r="N32" s="301"/>
      <c r="O32" s="325"/>
    </row>
    <row r="33" spans="1:15" s="298" customFormat="1" x14ac:dyDescent="0.25">
      <c r="A33" s="305">
        <v>40</v>
      </c>
      <c r="B33" s="177" t="s">
        <v>197</v>
      </c>
      <c r="C33" s="324" t="s">
        <v>211</v>
      </c>
      <c r="D33" s="185">
        <v>0.06</v>
      </c>
      <c r="E33" s="177" t="s">
        <v>24</v>
      </c>
      <c r="F33" s="323">
        <v>1</v>
      </c>
      <c r="G33" s="323" t="s">
        <v>204</v>
      </c>
      <c r="H33" s="323">
        <v>2</v>
      </c>
      <c r="I33" s="185">
        <f t="shared" si="1"/>
        <v>0.12</v>
      </c>
      <c r="J33" s="300"/>
      <c r="K33" s="300"/>
      <c r="L33" s="300"/>
      <c r="M33" s="300"/>
      <c r="N33" s="300"/>
      <c r="O33" s="299"/>
    </row>
    <row r="34" spans="1:15" s="298" customFormat="1" x14ac:dyDescent="0.25">
      <c r="A34" s="305">
        <v>50</v>
      </c>
      <c r="B34" s="177" t="s">
        <v>131</v>
      </c>
      <c r="C34" s="326" t="s">
        <v>210</v>
      </c>
      <c r="D34" s="185">
        <v>0.02</v>
      </c>
      <c r="E34" s="305" t="s">
        <v>133</v>
      </c>
      <c r="F34" s="323">
        <v>12.43</v>
      </c>
      <c r="G34" s="323" t="s">
        <v>204</v>
      </c>
      <c r="H34" s="323">
        <v>2</v>
      </c>
      <c r="I34" s="185">
        <f t="shared" si="1"/>
        <v>0.49719999999999998</v>
      </c>
      <c r="J34" s="301"/>
      <c r="K34" s="301"/>
      <c r="L34" s="301"/>
      <c r="M34" s="301"/>
      <c r="N34" s="301"/>
      <c r="O34" s="325"/>
    </row>
    <row r="35" spans="1:15" s="298" customFormat="1" x14ac:dyDescent="0.25">
      <c r="A35" s="305">
        <v>60</v>
      </c>
      <c r="B35" s="177" t="s">
        <v>113</v>
      </c>
      <c r="C35" s="326" t="s">
        <v>209</v>
      </c>
      <c r="D35" s="185">
        <v>0.02</v>
      </c>
      <c r="E35" s="305" t="s">
        <v>133</v>
      </c>
      <c r="F35" s="323">
        <v>12.43</v>
      </c>
      <c r="G35" s="323" t="s">
        <v>204</v>
      </c>
      <c r="H35" s="323">
        <v>2</v>
      </c>
      <c r="I35" s="185">
        <f t="shared" si="1"/>
        <v>0.49719999999999998</v>
      </c>
      <c r="J35" s="300"/>
      <c r="K35" s="300"/>
      <c r="L35" s="300"/>
      <c r="M35" s="300"/>
      <c r="N35" s="300"/>
      <c r="O35" s="299"/>
    </row>
    <row r="36" spans="1:15" s="298" customFormat="1" x14ac:dyDescent="0.25">
      <c r="A36" s="305">
        <v>70</v>
      </c>
      <c r="B36" s="177" t="s">
        <v>131</v>
      </c>
      <c r="C36" s="326" t="s">
        <v>132</v>
      </c>
      <c r="D36" s="185">
        <v>0.02</v>
      </c>
      <c r="E36" s="305" t="s">
        <v>133</v>
      </c>
      <c r="F36" s="323">
        <v>12.43</v>
      </c>
      <c r="G36" s="323" t="s">
        <v>204</v>
      </c>
      <c r="H36" s="323">
        <v>2</v>
      </c>
      <c r="I36" s="185">
        <f t="shared" si="1"/>
        <v>0.49719999999999998</v>
      </c>
      <c r="J36" s="301"/>
      <c r="K36" s="301"/>
      <c r="L36" s="301"/>
      <c r="M36" s="301"/>
      <c r="N36" s="301"/>
      <c r="O36" s="325"/>
    </row>
    <row r="37" spans="1:15" s="298" customFormat="1" x14ac:dyDescent="0.25">
      <c r="A37" s="305">
        <v>80</v>
      </c>
      <c r="B37" s="177" t="s">
        <v>197</v>
      </c>
      <c r="C37" s="324" t="s">
        <v>208</v>
      </c>
      <c r="D37" s="185">
        <v>0.14000000000000001</v>
      </c>
      <c r="E37" s="177" t="s">
        <v>24</v>
      </c>
      <c r="F37" s="323">
        <v>1</v>
      </c>
      <c r="G37" s="323" t="s">
        <v>204</v>
      </c>
      <c r="H37" s="323">
        <v>2</v>
      </c>
      <c r="I37" s="185">
        <f t="shared" si="1"/>
        <v>0.28000000000000003</v>
      </c>
      <c r="J37" s="321"/>
      <c r="K37" s="321"/>
      <c r="L37" s="321"/>
      <c r="M37" s="321"/>
      <c r="N37" s="321"/>
      <c r="O37" s="320"/>
    </row>
    <row r="38" spans="1:15" s="298" customFormat="1" x14ac:dyDescent="0.25">
      <c r="A38" s="305">
        <v>90</v>
      </c>
      <c r="B38" s="177" t="s">
        <v>131</v>
      </c>
      <c r="C38" s="326" t="s">
        <v>207</v>
      </c>
      <c r="D38" s="185">
        <v>0.02</v>
      </c>
      <c r="E38" s="305" t="s">
        <v>133</v>
      </c>
      <c r="F38" s="323">
        <v>12.43</v>
      </c>
      <c r="G38" s="323" t="s">
        <v>204</v>
      </c>
      <c r="H38" s="323">
        <v>2</v>
      </c>
      <c r="I38" s="185">
        <f t="shared" si="1"/>
        <v>0.49719999999999998</v>
      </c>
      <c r="J38" s="301"/>
      <c r="K38" s="301"/>
      <c r="L38" s="301"/>
      <c r="M38" s="301"/>
      <c r="N38" s="301"/>
      <c r="O38" s="325"/>
    </row>
    <row r="39" spans="1:15" s="298" customFormat="1" x14ac:dyDescent="0.25">
      <c r="A39" s="305">
        <v>100</v>
      </c>
      <c r="B39" s="177" t="s">
        <v>113</v>
      </c>
      <c r="C39" s="326" t="s">
        <v>206</v>
      </c>
      <c r="D39" s="185">
        <v>0.18</v>
      </c>
      <c r="E39" s="305" t="s">
        <v>133</v>
      </c>
      <c r="F39" s="323">
        <v>12.43</v>
      </c>
      <c r="G39" s="323" t="s">
        <v>204</v>
      </c>
      <c r="H39" s="323">
        <v>2</v>
      </c>
      <c r="I39" s="185">
        <f t="shared" si="1"/>
        <v>4.4748000000000001</v>
      </c>
      <c r="J39" s="321"/>
      <c r="K39" s="321"/>
      <c r="L39" s="321"/>
      <c r="M39" s="321"/>
      <c r="N39" s="321"/>
      <c r="O39" s="325"/>
    </row>
    <row r="40" spans="1:15" s="298" customFormat="1" x14ac:dyDescent="0.25">
      <c r="A40" s="305">
        <v>110</v>
      </c>
      <c r="B40" s="177" t="s">
        <v>131</v>
      </c>
      <c r="C40" s="326" t="s">
        <v>132</v>
      </c>
      <c r="D40" s="185">
        <v>0.02</v>
      </c>
      <c r="E40" s="305" t="s">
        <v>133</v>
      </c>
      <c r="F40" s="323">
        <v>12.43</v>
      </c>
      <c r="G40" s="323" t="s">
        <v>204</v>
      </c>
      <c r="H40" s="323">
        <v>2</v>
      </c>
      <c r="I40" s="185">
        <f t="shared" si="1"/>
        <v>0.49719999999999998</v>
      </c>
      <c r="J40" s="301"/>
      <c r="K40" s="301"/>
      <c r="L40" s="301"/>
      <c r="M40" s="301"/>
      <c r="N40" s="301"/>
      <c r="O40" s="325"/>
    </row>
    <row r="41" spans="1:15" s="298" customFormat="1" ht="30" x14ac:dyDescent="0.25">
      <c r="A41" s="305">
        <v>120</v>
      </c>
      <c r="B41" s="177" t="s">
        <v>197</v>
      </c>
      <c r="C41" s="324" t="s">
        <v>205</v>
      </c>
      <c r="D41" s="185">
        <v>0.22</v>
      </c>
      <c r="E41" s="177" t="s">
        <v>24</v>
      </c>
      <c r="F41" s="323">
        <v>1</v>
      </c>
      <c r="G41" s="323" t="s">
        <v>204</v>
      </c>
      <c r="H41" s="323">
        <v>2</v>
      </c>
      <c r="I41" s="185">
        <f t="shared" si="1"/>
        <v>0.44</v>
      </c>
      <c r="J41" s="321"/>
      <c r="K41" s="321"/>
      <c r="L41" s="321"/>
      <c r="M41" s="321"/>
      <c r="N41" s="321"/>
      <c r="O41" s="325"/>
    </row>
    <row r="42" spans="1:15" s="298" customFormat="1" x14ac:dyDescent="0.25">
      <c r="A42" s="305">
        <v>130</v>
      </c>
      <c r="B42" s="177" t="s">
        <v>131</v>
      </c>
      <c r="C42" s="326" t="s">
        <v>203</v>
      </c>
      <c r="D42" s="185">
        <v>0.02</v>
      </c>
      <c r="E42" s="305" t="s">
        <v>133</v>
      </c>
      <c r="F42" s="323">
        <v>4.01</v>
      </c>
      <c r="G42" s="323" t="s">
        <v>200</v>
      </c>
      <c r="H42" s="323">
        <v>3</v>
      </c>
      <c r="I42" s="185">
        <f t="shared" si="1"/>
        <v>0.24059999999999998</v>
      </c>
      <c r="J42" s="301"/>
      <c r="K42" s="301"/>
      <c r="L42" s="301"/>
      <c r="M42" s="301"/>
      <c r="N42" s="301"/>
      <c r="O42" s="325"/>
    </row>
    <row r="43" spans="1:15" s="298" customFormat="1" x14ac:dyDescent="0.25">
      <c r="A43" s="305">
        <v>140</v>
      </c>
      <c r="B43" s="263" t="s">
        <v>113</v>
      </c>
      <c r="C43" s="565" t="s">
        <v>202</v>
      </c>
      <c r="D43" s="548">
        <v>0.02</v>
      </c>
      <c r="E43" s="556" t="s">
        <v>133</v>
      </c>
      <c r="F43" s="563">
        <v>4.01</v>
      </c>
      <c r="G43" s="563" t="s">
        <v>200</v>
      </c>
      <c r="H43" s="563">
        <v>3</v>
      </c>
      <c r="I43" s="548">
        <f t="shared" si="1"/>
        <v>0.24059999999999998</v>
      </c>
      <c r="J43" s="321"/>
      <c r="K43" s="321"/>
      <c r="L43" s="321"/>
      <c r="M43" s="321"/>
      <c r="N43" s="321"/>
      <c r="O43" s="325"/>
    </row>
    <row r="44" spans="1:15" s="298" customFormat="1" x14ac:dyDescent="0.25">
      <c r="A44" s="556">
        <v>150</v>
      </c>
      <c r="B44" s="527" t="s">
        <v>197</v>
      </c>
      <c r="C44" s="565" t="s">
        <v>201</v>
      </c>
      <c r="D44" s="548">
        <v>0.3</v>
      </c>
      <c r="E44" s="527" t="s">
        <v>24</v>
      </c>
      <c r="F44" s="563">
        <v>1</v>
      </c>
      <c r="G44" s="563" t="s">
        <v>200</v>
      </c>
      <c r="H44" s="563">
        <v>3</v>
      </c>
      <c r="I44" s="548">
        <f t="shared" si="1"/>
        <v>0.89999999999999991</v>
      </c>
      <c r="J44" s="321"/>
      <c r="K44" s="321"/>
      <c r="L44" s="321"/>
      <c r="M44" s="321"/>
      <c r="N44" s="321"/>
      <c r="O44" s="325"/>
    </row>
    <row r="45" spans="1:15" s="298" customFormat="1" x14ac:dyDescent="0.25">
      <c r="A45" s="556">
        <v>160</v>
      </c>
      <c r="B45" s="556" t="s">
        <v>86</v>
      </c>
      <c r="C45" s="565" t="s">
        <v>199</v>
      </c>
      <c r="D45" s="548">
        <v>0.15</v>
      </c>
      <c r="E45" s="556" t="s">
        <v>133</v>
      </c>
      <c r="F45" s="563">
        <v>22</v>
      </c>
      <c r="G45" s="563"/>
      <c r="H45" s="562"/>
      <c r="I45" s="548">
        <f t="shared" si="1"/>
        <v>3.3</v>
      </c>
      <c r="J45" s="321"/>
      <c r="K45" s="321"/>
      <c r="L45" s="321"/>
      <c r="M45" s="321"/>
      <c r="N45" s="321"/>
      <c r="O45" s="325"/>
    </row>
    <row r="46" spans="1:15" s="298" customFormat="1" x14ac:dyDescent="0.25">
      <c r="A46" s="556">
        <v>170</v>
      </c>
      <c r="B46" s="527" t="s">
        <v>74</v>
      </c>
      <c r="C46" s="564" t="s">
        <v>198</v>
      </c>
      <c r="D46" s="548">
        <v>5.25</v>
      </c>
      <c r="E46" s="527" t="s">
        <v>156</v>
      </c>
      <c r="F46" s="563">
        <v>0.01</v>
      </c>
      <c r="G46" s="563"/>
      <c r="H46" s="562"/>
      <c r="I46" s="548">
        <f t="shared" si="1"/>
        <v>5.2499999999999998E-2</v>
      </c>
      <c r="J46" s="321"/>
      <c r="K46" s="321"/>
      <c r="L46" s="321"/>
      <c r="M46" s="327"/>
      <c r="N46" s="321"/>
      <c r="O46" s="325"/>
    </row>
    <row r="47" spans="1:15" s="298" customFormat="1" x14ac:dyDescent="0.25">
      <c r="A47" s="556">
        <v>180</v>
      </c>
      <c r="B47" s="556" t="s">
        <v>197</v>
      </c>
      <c r="C47" s="565" t="s">
        <v>196</v>
      </c>
      <c r="D47" s="548">
        <v>0.14000000000000001</v>
      </c>
      <c r="E47" s="556" t="s">
        <v>24</v>
      </c>
      <c r="F47" s="563">
        <v>1</v>
      </c>
      <c r="G47" s="563"/>
      <c r="H47" s="562"/>
      <c r="I47" s="548">
        <f t="shared" si="1"/>
        <v>0.14000000000000001</v>
      </c>
      <c r="J47" s="321"/>
      <c r="K47" s="321"/>
      <c r="L47" s="321"/>
      <c r="M47" s="321"/>
      <c r="N47" s="321"/>
      <c r="O47" s="325"/>
    </row>
    <row r="48" spans="1:15" s="298" customFormat="1" x14ac:dyDescent="0.25">
      <c r="A48" s="556">
        <v>190</v>
      </c>
      <c r="B48" s="527" t="s">
        <v>194</v>
      </c>
      <c r="C48" s="564" t="s">
        <v>195</v>
      </c>
      <c r="D48" s="548">
        <v>0.13</v>
      </c>
      <c r="E48" s="527" t="s">
        <v>24</v>
      </c>
      <c r="F48" s="563">
        <v>4</v>
      </c>
      <c r="G48" s="563"/>
      <c r="H48" s="562"/>
      <c r="I48" s="548">
        <f t="shared" si="1"/>
        <v>0.52</v>
      </c>
      <c r="J48" s="321"/>
      <c r="K48" s="321"/>
      <c r="L48" s="321"/>
      <c r="M48" s="321"/>
      <c r="N48" s="321"/>
      <c r="O48" s="325"/>
    </row>
    <row r="49" spans="1:15" s="298" customFormat="1" x14ac:dyDescent="0.25">
      <c r="A49" s="556">
        <v>200</v>
      </c>
      <c r="B49" s="527" t="s">
        <v>194</v>
      </c>
      <c r="C49" s="564" t="s">
        <v>193</v>
      </c>
      <c r="D49" s="548">
        <v>0.13</v>
      </c>
      <c r="E49" s="527" t="s">
        <v>24</v>
      </c>
      <c r="F49" s="563">
        <v>8</v>
      </c>
      <c r="G49" s="563"/>
      <c r="H49" s="562"/>
      <c r="I49" s="548">
        <f t="shared" si="1"/>
        <v>1.04</v>
      </c>
      <c r="J49" s="321"/>
      <c r="K49" s="321"/>
      <c r="L49" s="321"/>
      <c r="M49" s="321"/>
      <c r="N49" s="321"/>
      <c r="O49" s="325"/>
    </row>
    <row r="50" spans="1:15" s="298" customFormat="1" x14ac:dyDescent="0.25">
      <c r="A50" s="556">
        <v>210</v>
      </c>
      <c r="B50" s="556" t="s">
        <v>159</v>
      </c>
      <c r="C50" s="565" t="s">
        <v>192</v>
      </c>
      <c r="D50" s="548">
        <v>0.13</v>
      </c>
      <c r="E50" s="556" t="s">
        <v>24</v>
      </c>
      <c r="F50" s="563">
        <v>2</v>
      </c>
      <c r="G50" s="563"/>
      <c r="H50" s="562"/>
      <c r="I50" s="548">
        <f t="shared" si="1"/>
        <v>0.26</v>
      </c>
      <c r="J50" s="321"/>
      <c r="K50" s="321"/>
      <c r="L50" s="321"/>
      <c r="M50" s="321"/>
      <c r="N50" s="321"/>
      <c r="O50" s="325"/>
    </row>
    <row r="51" spans="1:15" s="298" customFormat="1" x14ac:dyDescent="0.25">
      <c r="A51" s="556">
        <v>220</v>
      </c>
      <c r="B51" s="527" t="s">
        <v>191</v>
      </c>
      <c r="C51" s="564" t="s">
        <v>190</v>
      </c>
      <c r="D51" s="548">
        <v>0.25</v>
      </c>
      <c r="E51" s="527" t="s">
        <v>24</v>
      </c>
      <c r="F51" s="563">
        <v>2</v>
      </c>
      <c r="G51" s="563"/>
      <c r="H51" s="562"/>
      <c r="I51" s="548">
        <f t="shared" si="1"/>
        <v>0.5</v>
      </c>
      <c r="J51" s="321"/>
      <c r="K51" s="321"/>
      <c r="L51" s="321"/>
      <c r="M51" s="321"/>
      <c r="N51" s="321"/>
      <c r="O51" s="320"/>
    </row>
    <row r="52" spans="1:15" x14ac:dyDescent="0.25">
      <c r="A52" s="657"/>
      <c r="B52" s="656"/>
      <c r="C52" s="656"/>
      <c r="D52" s="656"/>
      <c r="E52" s="656"/>
      <c r="F52" s="656"/>
      <c r="G52" s="656"/>
      <c r="H52" s="655" t="s">
        <v>20</v>
      </c>
      <c r="I52" s="654">
        <f>SUM(I30:I51)</f>
        <v>16.033700000000003</v>
      </c>
      <c r="J52" s="648"/>
      <c r="K52" s="648"/>
      <c r="L52" s="648"/>
      <c r="M52" s="648"/>
      <c r="N52" s="648"/>
      <c r="O52" s="652"/>
    </row>
    <row r="53" spans="1:15" x14ac:dyDescent="0.25">
      <c r="A53" s="653"/>
      <c r="B53" s="648"/>
      <c r="C53" s="648"/>
      <c r="D53" s="648"/>
      <c r="E53" s="648"/>
      <c r="F53" s="648"/>
      <c r="G53" s="648"/>
      <c r="H53" s="648"/>
      <c r="I53" s="648"/>
      <c r="J53" s="648"/>
      <c r="K53" s="648"/>
      <c r="L53" s="648"/>
      <c r="M53" s="648"/>
      <c r="N53" s="648"/>
      <c r="O53" s="652"/>
    </row>
    <row r="54" spans="1:15" x14ac:dyDescent="0.25">
      <c r="A54" s="669" t="s">
        <v>16</v>
      </c>
      <c r="B54" s="669" t="s">
        <v>30</v>
      </c>
      <c r="C54" s="669" t="s">
        <v>22</v>
      </c>
      <c r="D54" s="669" t="s">
        <v>23</v>
      </c>
      <c r="E54" s="669" t="s">
        <v>31</v>
      </c>
      <c r="F54" s="669" t="s">
        <v>32</v>
      </c>
      <c r="G54" s="669" t="s">
        <v>33</v>
      </c>
      <c r="H54" s="669" t="s">
        <v>34</v>
      </c>
      <c r="I54" s="669" t="s">
        <v>19</v>
      </c>
      <c r="J54" s="669" t="s">
        <v>20</v>
      </c>
      <c r="K54" s="648"/>
      <c r="L54" s="648"/>
      <c r="M54" s="648"/>
      <c r="N54" s="648"/>
      <c r="O54" s="652"/>
    </row>
    <row r="55" spans="1:15" x14ac:dyDescent="0.25">
      <c r="A55" s="662">
        <v>10</v>
      </c>
      <c r="B55" s="662" t="s">
        <v>189</v>
      </c>
      <c r="C55" s="662" t="s">
        <v>188</v>
      </c>
      <c r="D55" s="668">
        <f>0.8/105154*E55^2*G55*SQRT(G55)+(0.003*EXP(0.319*E55))</f>
        <v>0.16167651505774214</v>
      </c>
      <c r="E55" s="662">
        <v>8</v>
      </c>
      <c r="F55" s="663" t="s">
        <v>35</v>
      </c>
      <c r="G55" s="667">
        <v>40</v>
      </c>
      <c r="H55" s="661" t="s">
        <v>35</v>
      </c>
      <c r="I55" s="666">
        <v>2</v>
      </c>
      <c r="J55" s="665">
        <f>D55*I55</f>
        <v>0.32335303011548427</v>
      </c>
      <c r="K55" s="648"/>
      <c r="L55" s="648"/>
      <c r="M55" s="648"/>
      <c r="N55" s="648"/>
      <c r="O55" s="652"/>
    </row>
    <row r="56" spans="1:15" x14ac:dyDescent="0.25">
      <c r="A56" s="662">
        <v>20</v>
      </c>
      <c r="B56" s="662" t="s">
        <v>187</v>
      </c>
      <c r="C56" s="662" t="s">
        <v>186</v>
      </c>
      <c r="D56" s="664">
        <f>(0.009*EXP(0.2*E56))</f>
        <v>4.4577291819556032E-2</v>
      </c>
      <c r="E56" s="662">
        <v>8</v>
      </c>
      <c r="F56" s="663" t="s">
        <v>35</v>
      </c>
      <c r="G56" s="662"/>
      <c r="H56" s="661"/>
      <c r="I56" s="660">
        <v>2</v>
      </c>
      <c r="J56" s="659">
        <f>D56*I56</f>
        <v>8.9154583639112064E-2</v>
      </c>
      <c r="K56" s="648"/>
      <c r="L56" s="648"/>
      <c r="M56" s="648"/>
      <c r="N56" s="648"/>
      <c r="O56" s="652"/>
    </row>
    <row r="57" spans="1:15" x14ac:dyDescent="0.25">
      <c r="A57" s="662">
        <v>30</v>
      </c>
      <c r="B57" s="662" t="s">
        <v>185</v>
      </c>
      <c r="C57" s="662" t="s">
        <v>184</v>
      </c>
      <c r="D57" s="662">
        <v>0.01</v>
      </c>
      <c r="E57" s="662">
        <v>8</v>
      </c>
      <c r="F57" s="663" t="s">
        <v>35</v>
      </c>
      <c r="G57" s="662"/>
      <c r="H57" s="661"/>
      <c r="I57" s="660">
        <v>4</v>
      </c>
      <c r="J57" s="659">
        <f>D57*I57</f>
        <v>0.04</v>
      </c>
      <c r="K57" s="658"/>
      <c r="L57" s="658"/>
      <c r="M57" s="658"/>
      <c r="N57" s="658"/>
      <c r="O57" s="652"/>
    </row>
    <row r="58" spans="1:15" x14ac:dyDescent="0.25">
      <c r="A58" s="657"/>
      <c r="B58" s="656"/>
      <c r="C58" s="656"/>
      <c r="D58" s="656"/>
      <c r="E58" s="656"/>
      <c r="F58" s="656"/>
      <c r="G58" s="656"/>
      <c r="H58" s="656"/>
      <c r="I58" s="655" t="s">
        <v>20</v>
      </c>
      <c r="J58" s="654">
        <f>SUM(J55:J57)</f>
        <v>0.45250761375459631</v>
      </c>
      <c r="K58" s="648"/>
      <c r="L58" s="648"/>
      <c r="M58" s="648"/>
      <c r="N58" s="648"/>
      <c r="O58" s="652"/>
    </row>
    <row r="59" spans="1:15" x14ac:dyDescent="0.25">
      <c r="A59" s="653"/>
      <c r="B59" s="648"/>
      <c r="C59" s="648"/>
      <c r="D59" s="648"/>
      <c r="E59" s="648"/>
      <c r="F59" s="648"/>
      <c r="G59" s="648"/>
      <c r="H59" s="648"/>
      <c r="I59" s="648"/>
      <c r="J59" s="648"/>
      <c r="K59" s="648"/>
      <c r="L59" s="648"/>
      <c r="M59" s="648"/>
      <c r="N59" s="648"/>
      <c r="O59" s="652"/>
    </row>
    <row r="60" spans="1:15" s="298" customFormat="1" x14ac:dyDescent="0.25">
      <c r="A60" s="306" t="s">
        <v>16</v>
      </c>
      <c r="B60" s="306" t="s">
        <v>70</v>
      </c>
      <c r="C60" s="306" t="s">
        <v>22</v>
      </c>
      <c r="D60" s="306" t="s">
        <v>23</v>
      </c>
      <c r="E60" s="306" t="s">
        <v>24</v>
      </c>
      <c r="F60" s="306" t="s">
        <v>19</v>
      </c>
      <c r="G60" s="306" t="s">
        <v>69</v>
      </c>
      <c r="H60" s="306" t="s">
        <v>68</v>
      </c>
      <c r="I60" s="306" t="s">
        <v>20</v>
      </c>
      <c r="J60" s="301"/>
      <c r="K60" s="300"/>
      <c r="L60" s="300"/>
      <c r="M60" s="300"/>
      <c r="N60" s="300"/>
      <c r="O60" s="299"/>
    </row>
    <row r="61" spans="1:15" s="298" customFormat="1" x14ac:dyDescent="0.25">
      <c r="A61" s="556">
        <v>10</v>
      </c>
      <c r="B61" s="556" t="s">
        <v>67</v>
      </c>
      <c r="C61" s="556" t="s">
        <v>183</v>
      </c>
      <c r="D61" s="557">
        <v>500</v>
      </c>
      <c r="E61" s="556" t="s">
        <v>66</v>
      </c>
      <c r="F61" s="556">
        <f>8</f>
        <v>8</v>
      </c>
      <c r="G61" s="556">
        <v>3000</v>
      </c>
      <c r="H61" s="556">
        <v>1</v>
      </c>
      <c r="I61" s="535">
        <f>D61*F61/G61*H61</f>
        <v>1.3333333333333333</v>
      </c>
      <c r="J61" s="301"/>
      <c r="K61" s="300"/>
      <c r="L61" s="300"/>
      <c r="M61" s="300"/>
      <c r="N61" s="300"/>
      <c r="O61" s="299"/>
    </row>
    <row r="62" spans="1:15" s="298" customFormat="1" x14ac:dyDescent="0.25">
      <c r="A62" s="304"/>
      <c r="B62" s="301"/>
      <c r="C62" s="301"/>
      <c r="D62" s="301"/>
      <c r="E62" s="301"/>
      <c r="F62" s="301"/>
      <c r="G62" s="301"/>
      <c r="H62" s="303" t="s">
        <v>20</v>
      </c>
      <c r="I62" s="302">
        <f>SUM(I61:I61)</f>
        <v>1.3333333333333333</v>
      </c>
      <c r="J62" s="301"/>
      <c r="K62" s="300"/>
      <c r="L62" s="300"/>
      <c r="M62" s="300"/>
      <c r="N62" s="300"/>
      <c r="O62" s="299"/>
    </row>
    <row r="63" spans="1:15" ht="15.75" thickBot="1" x14ac:dyDescent="0.3">
      <c r="A63" s="651"/>
      <c r="B63" s="650"/>
      <c r="C63" s="650"/>
      <c r="D63" s="650"/>
      <c r="E63" s="650"/>
      <c r="F63" s="650"/>
      <c r="G63" s="650"/>
      <c r="H63" s="650"/>
      <c r="I63" s="650"/>
      <c r="J63" s="650"/>
      <c r="K63" s="650"/>
      <c r="L63" s="650"/>
      <c r="M63" s="650"/>
      <c r="N63" s="650"/>
      <c r="O63" s="649"/>
    </row>
    <row r="64" spans="1:15" x14ac:dyDescent="0.25">
      <c r="A64" s="648"/>
      <c r="B64" s="648"/>
      <c r="C64" s="648"/>
      <c r="D64" s="648"/>
      <c r="E64" s="648"/>
      <c r="F64" s="648"/>
      <c r="G64" s="648"/>
      <c r="H64" s="648"/>
      <c r="I64" s="648"/>
      <c r="J64" s="648"/>
      <c r="K64" s="648"/>
      <c r="L64" s="648"/>
      <c r="M64" s="648"/>
      <c r="N64" s="648"/>
    </row>
  </sheetData>
  <hyperlinks>
    <hyperlink ref="B10" location="SU_03001" display="SU_03001"/>
    <hyperlink ref="B11:B13" location="BR_01001" display="BR_01001"/>
    <hyperlink ref="B14" location="SU_03005" display="SU_03005"/>
    <hyperlink ref="B16" location="SU_03007" display="SU_03007"/>
    <hyperlink ref="B11" location="SU_03002" display="SU_03002"/>
    <hyperlink ref="B12" location="SU_03003" display="SU_03003"/>
    <hyperlink ref="B13" location="SU_03004" display="SU_03004"/>
    <hyperlink ref="B15" location="SU_03006" display="SU_03006"/>
    <hyperlink ref="E2" location="SU_A0300_BOM" display="Back to BOM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31496062992125984" right="0.31496062992125984" top="0.31496062992125984" bottom="0.39370078740157483" header="0.51181102362204722" footer="0.31496062992125984"/>
  <pageSetup paperSize="9" scale="61" firstPageNumber="0" fitToHeight="99" orientation="landscape" horizontalDpi="1200" verticalDpi="1200" r:id="rId1"/>
  <rowBreaks count="1" manualBreakCount="1">
    <brk id="63" max="16383" man="1"/>
  </row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106" zoomScaleNormal="106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647"/>
    <col min="2" max="2" width="17.28515625" style="647" customWidth="1"/>
    <col min="3" max="3" width="29.7109375" style="647" customWidth="1"/>
    <col min="4" max="9" width="9.140625" style="647"/>
    <col min="10" max="10" width="12.5703125" style="647" customWidth="1"/>
    <col min="11" max="14" width="9.140625" style="647"/>
    <col min="15" max="15" width="3.140625" style="647" customWidth="1"/>
    <col min="16" max="17" width="9.140625" style="647"/>
    <col min="18" max="19" width="16.28515625" style="647" bestFit="1" customWidth="1"/>
    <col min="20" max="16384" width="9.140625" style="647"/>
  </cols>
  <sheetData>
    <row r="1" spans="1:19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9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SU_03001_m+SU_03001_p</f>
        <v>16.4854905344</v>
      </c>
      <c r="O2" s="652"/>
    </row>
    <row r="3" spans="1:19" ht="14.45" x14ac:dyDescent="0.3">
      <c r="A3" s="719" t="s">
        <v>5</v>
      </c>
      <c r="B3" s="684" t="str">
        <f>'SU A0300'!B3</f>
        <v>Suspension &amp; Shocks</v>
      </c>
      <c r="C3" s="648"/>
      <c r="D3" s="719" t="s">
        <v>8</v>
      </c>
      <c r="E3" s="60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1</v>
      </c>
      <c r="O3" s="652"/>
    </row>
    <row r="4" spans="1:19" ht="14.45" x14ac:dyDescent="0.3">
      <c r="A4" s="719" t="s">
        <v>7</v>
      </c>
      <c r="B4" s="58" t="s">
        <v>291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9" ht="14.45" x14ac:dyDescent="0.3">
      <c r="A5" s="719" t="s">
        <v>17</v>
      </c>
      <c r="B5" s="686" t="s">
        <v>294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16.4854905344</v>
      </c>
      <c r="O5" s="652"/>
    </row>
    <row r="6" spans="1:19" ht="14.45" x14ac:dyDescent="0.3">
      <c r="A6" s="719" t="s">
        <v>9</v>
      </c>
      <c r="B6" s="721" t="s">
        <v>293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9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9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9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9" ht="14.45" x14ac:dyDescent="0.3">
      <c r="A10" s="716" t="s">
        <v>16</v>
      </c>
      <c r="B10" s="715" t="s">
        <v>38</v>
      </c>
      <c r="C10" s="715" t="s">
        <v>22</v>
      </c>
      <c r="D10" s="715" t="s">
        <v>23</v>
      </c>
      <c r="E10" s="715" t="s">
        <v>31</v>
      </c>
      <c r="F10" s="705" t="s">
        <v>32</v>
      </c>
      <c r="G10" s="705" t="s">
        <v>33</v>
      </c>
      <c r="H10" s="705" t="s">
        <v>34</v>
      </c>
      <c r="I10" s="705" t="s">
        <v>39</v>
      </c>
      <c r="J10" s="705" t="s">
        <v>40</v>
      </c>
      <c r="K10" s="705" t="s">
        <v>41</v>
      </c>
      <c r="L10" s="705" t="s">
        <v>42</v>
      </c>
      <c r="M10" s="705" t="s">
        <v>19</v>
      </c>
      <c r="N10" s="705" t="s">
        <v>20</v>
      </c>
      <c r="O10" s="652"/>
    </row>
    <row r="11" spans="1:19" s="675" customFormat="1" ht="14.45" x14ac:dyDescent="0.3">
      <c r="A11" s="374">
        <v>10</v>
      </c>
      <c r="B11" s="354" t="s">
        <v>229</v>
      </c>
      <c r="C11" s="714" t="s">
        <v>99</v>
      </c>
      <c r="D11" s="708">
        <f>4.2</f>
        <v>4.2</v>
      </c>
      <c r="E11" s="713"/>
      <c r="F11" s="713"/>
      <c r="G11" s="713"/>
      <c r="H11" s="712"/>
      <c r="I11" s="711" t="s">
        <v>228</v>
      </c>
      <c r="J11" s="65">
        <f>63*62/1000000</f>
        <v>3.9060000000000002E-3</v>
      </c>
      <c r="K11" s="710">
        <v>5.6000000000000001E-2</v>
      </c>
      <c r="L11" s="672">
        <v>2712</v>
      </c>
      <c r="M11" s="709">
        <v>1</v>
      </c>
      <c r="N11" s="708">
        <f>D11*M11*L11*K11*J11</f>
        <v>2.4914905344</v>
      </c>
      <c r="O11" s="676"/>
    </row>
    <row r="12" spans="1:19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07" t="s">
        <v>20</v>
      </c>
      <c r="N12" s="691">
        <f>SUM(N11:N11)</f>
        <v>2.4914905344</v>
      </c>
      <c r="O12" s="652"/>
    </row>
    <row r="13" spans="1:19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  <c r="S13" s="704"/>
    </row>
    <row r="14" spans="1:19" ht="14.45" x14ac:dyDescent="0.3">
      <c r="A14" s="706" t="s">
        <v>16</v>
      </c>
      <c r="B14" s="705" t="s">
        <v>21</v>
      </c>
      <c r="C14" s="705" t="s">
        <v>22</v>
      </c>
      <c r="D14" s="705" t="s">
        <v>23</v>
      </c>
      <c r="E14" s="705" t="s">
        <v>24</v>
      </c>
      <c r="F14" s="705" t="s">
        <v>19</v>
      </c>
      <c r="G14" s="705" t="s">
        <v>25</v>
      </c>
      <c r="H14" s="705" t="s">
        <v>26</v>
      </c>
      <c r="I14" s="705" t="s">
        <v>20</v>
      </c>
      <c r="J14" s="656"/>
      <c r="K14" s="656"/>
      <c r="L14" s="656"/>
      <c r="M14" s="656"/>
      <c r="N14" s="656"/>
      <c r="O14" s="652"/>
      <c r="R14" s="704"/>
    </row>
    <row r="15" spans="1:19" s="124" customFormat="1" ht="28.9" customHeight="1" x14ac:dyDescent="0.3">
      <c r="A15" s="699">
        <v>10</v>
      </c>
      <c r="B15" s="698" t="s">
        <v>81</v>
      </c>
      <c r="C15" s="699"/>
      <c r="D15" s="701">
        <v>1.3</v>
      </c>
      <c r="E15" s="698" t="s">
        <v>24</v>
      </c>
      <c r="F15" s="700">
        <v>1</v>
      </c>
      <c r="G15" s="703"/>
      <c r="H15" s="703"/>
      <c r="I15" s="693">
        <f t="shared" ref="I15:I25" si="0">IF(H15="",D15*F15,D15*F15*H15)</f>
        <v>1.3</v>
      </c>
      <c r="J15" s="122"/>
      <c r="K15" s="122"/>
      <c r="L15" s="122"/>
      <c r="M15" s="122"/>
      <c r="N15" s="122"/>
      <c r="O15" s="123"/>
    </row>
    <row r="16" spans="1:19" s="103" customFormat="1" ht="25.9" customHeight="1" x14ac:dyDescent="0.3">
      <c r="A16" s="695">
        <v>20</v>
      </c>
      <c r="B16" s="698" t="s">
        <v>80</v>
      </c>
      <c r="C16" s="697" t="s">
        <v>292</v>
      </c>
      <c r="D16" s="696">
        <v>0.04</v>
      </c>
      <c r="E16" s="695" t="s">
        <v>79</v>
      </c>
      <c r="F16" s="694">
        <v>174</v>
      </c>
      <c r="G16" s="702"/>
      <c r="H16" s="354"/>
      <c r="I16" s="693">
        <f t="shared" si="0"/>
        <v>6.96</v>
      </c>
      <c r="J16" s="105"/>
      <c r="K16" s="105"/>
      <c r="L16" s="105"/>
      <c r="M16" s="105"/>
      <c r="N16" s="105"/>
      <c r="O16" s="107"/>
      <c r="R16" s="364"/>
    </row>
    <row r="17" spans="1:18" s="149" customFormat="1" ht="15" customHeight="1" x14ac:dyDescent="0.3">
      <c r="A17" s="699">
        <v>30</v>
      </c>
      <c r="B17" s="698" t="s">
        <v>87</v>
      </c>
      <c r="C17" s="699"/>
      <c r="D17" s="701">
        <v>0.65</v>
      </c>
      <c r="E17" s="698" t="s">
        <v>24</v>
      </c>
      <c r="F17" s="700">
        <v>1</v>
      </c>
      <c r="G17" s="354"/>
      <c r="H17" s="354"/>
      <c r="I17" s="693">
        <f t="shared" si="0"/>
        <v>0.65</v>
      </c>
      <c r="J17" s="129"/>
      <c r="K17" s="129"/>
      <c r="L17" s="129"/>
      <c r="M17" s="129"/>
      <c r="N17" s="129"/>
      <c r="O17" s="148"/>
      <c r="R17" s="367"/>
    </row>
    <row r="18" spans="1:18" s="103" customFormat="1" ht="18.600000000000001" customHeight="1" x14ac:dyDescent="0.3">
      <c r="A18" s="695">
        <v>40</v>
      </c>
      <c r="B18" s="698" t="s">
        <v>80</v>
      </c>
      <c r="C18" s="697" t="s">
        <v>226</v>
      </c>
      <c r="D18" s="696">
        <v>0.04</v>
      </c>
      <c r="E18" s="695" t="s">
        <v>79</v>
      </c>
      <c r="F18" s="694">
        <v>2.2999999999999998</v>
      </c>
      <c r="G18" s="702"/>
      <c r="H18" s="354"/>
      <c r="I18" s="693">
        <f t="shared" si="0"/>
        <v>9.1999999999999998E-2</v>
      </c>
      <c r="J18" s="105"/>
      <c r="K18" s="105"/>
      <c r="L18" s="105"/>
      <c r="M18" s="105"/>
      <c r="N18" s="105"/>
      <c r="O18" s="107"/>
      <c r="R18" s="364"/>
    </row>
    <row r="19" spans="1:18" s="103" customFormat="1" ht="28.15" customHeight="1" x14ac:dyDescent="0.3">
      <c r="A19" s="699">
        <v>50</v>
      </c>
      <c r="B19" s="698" t="s">
        <v>87</v>
      </c>
      <c r="C19" s="699"/>
      <c r="D19" s="701">
        <v>0.65</v>
      </c>
      <c r="E19" s="698" t="s">
        <v>24</v>
      </c>
      <c r="F19" s="700">
        <v>1</v>
      </c>
      <c r="G19" s="354"/>
      <c r="H19" s="354"/>
      <c r="I19" s="693">
        <f t="shared" si="0"/>
        <v>0.65</v>
      </c>
      <c r="J19" s="105"/>
      <c r="K19" s="105"/>
      <c r="L19" s="105"/>
      <c r="M19" s="105"/>
      <c r="N19" s="105"/>
      <c r="O19" s="107"/>
      <c r="R19" s="364"/>
    </row>
    <row r="20" spans="1:18" s="103" customFormat="1" ht="15" customHeight="1" x14ac:dyDescent="0.25">
      <c r="A20" s="695">
        <v>60</v>
      </c>
      <c r="B20" s="698" t="s">
        <v>80</v>
      </c>
      <c r="C20" s="697" t="s">
        <v>225</v>
      </c>
      <c r="D20" s="696">
        <v>0.04</v>
      </c>
      <c r="E20" s="695" t="s">
        <v>79</v>
      </c>
      <c r="F20" s="694">
        <v>2.2999999999999998</v>
      </c>
      <c r="G20" s="354"/>
      <c r="H20" s="354"/>
      <c r="I20" s="693">
        <f t="shared" si="0"/>
        <v>9.1999999999999998E-2</v>
      </c>
      <c r="J20" s="105"/>
      <c r="K20" s="105"/>
      <c r="L20" s="105"/>
      <c r="M20" s="105"/>
      <c r="N20" s="105"/>
      <c r="O20" s="107"/>
      <c r="R20" s="364"/>
    </row>
    <row r="21" spans="1:18" s="103" customFormat="1" ht="14.45" customHeight="1" x14ac:dyDescent="0.25">
      <c r="A21" s="699">
        <v>70</v>
      </c>
      <c r="B21" s="698" t="s">
        <v>87</v>
      </c>
      <c r="C21" s="699"/>
      <c r="D21" s="701">
        <v>0.65</v>
      </c>
      <c r="E21" s="698" t="s">
        <v>24</v>
      </c>
      <c r="F21" s="700">
        <v>1</v>
      </c>
      <c r="G21" s="354"/>
      <c r="H21" s="354"/>
      <c r="I21" s="693">
        <f t="shared" si="0"/>
        <v>0.65</v>
      </c>
      <c r="J21" s="105"/>
      <c r="K21" s="105"/>
      <c r="L21" s="105"/>
      <c r="M21" s="105"/>
      <c r="N21" s="105"/>
      <c r="O21" s="107"/>
      <c r="R21" s="364"/>
    </row>
    <row r="22" spans="1:18" s="103" customFormat="1" ht="29.45" customHeight="1" x14ac:dyDescent="0.25">
      <c r="A22" s="695">
        <v>80</v>
      </c>
      <c r="B22" s="698" t="s">
        <v>80</v>
      </c>
      <c r="C22" s="697" t="s">
        <v>224</v>
      </c>
      <c r="D22" s="696">
        <v>0.04</v>
      </c>
      <c r="E22" s="695" t="s">
        <v>79</v>
      </c>
      <c r="F22" s="694">
        <v>8</v>
      </c>
      <c r="G22" s="354"/>
      <c r="H22" s="354"/>
      <c r="I22" s="693">
        <f t="shared" si="0"/>
        <v>0.32</v>
      </c>
      <c r="J22" s="105"/>
      <c r="K22" s="105"/>
      <c r="L22" s="105"/>
      <c r="M22" s="105"/>
      <c r="N22" s="105"/>
      <c r="O22" s="107"/>
      <c r="R22" s="364"/>
    </row>
    <row r="23" spans="1:18" s="103" customFormat="1" ht="28.9" customHeight="1" x14ac:dyDescent="0.25">
      <c r="A23" s="699">
        <v>90</v>
      </c>
      <c r="B23" s="698" t="s">
        <v>87</v>
      </c>
      <c r="C23" s="699"/>
      <c r="D23" s="701">
        <v>0.65</v>
      </c>
      <c r="E23" s="698" t="s">
        <v>24</v>
      </c>
      <c r="F23" s="700">
        <v>1</v>
      </c>
      <c r="G23" s="354"/>
      <c r="H23" s="354"/>
      <c r="I23" s="693">
        <f t="shared" si="0"/>
        <v>0.65</v>
      </c>
      <c r="J23" s="105"/>
      <c r="K23" s="105"/>
      <c r="L23" s="105"/>
      <c r="M23" s="105"/>
      <c r="N23" s="105"/>
      <c r="O23" s="107"/>
      <c r="R23" s="364"/>
    </row>
    <row r="24" spans="1:18" s="103" customFormat="1" ht="18.600000000000001" customHeight="1" x14ac:dyDescent="0.25">
      <c r="A24" s="695">
        <v>100</v>
      </c>
      <c r="B24" s="698" t="s">
        <v>80</v>
      </c>
      <c r="C24" s="697" t="s">
        <v>223</v>
      </c>
      <c r="D24" s="696">
        <v>0.04</v>
      </c>
      <c r="E24" s="695" t="s">
        <v>79</v>
      </c>
      <c r="F24" s="694">
        <v>57</v>
      </c>
      <c r="G24" s="354"/>
      <c r="H24" s="354"/>
      <c r="I24" s="693">
        <f t="shared" si="0"/>
        <v>2.2800000000000002</v>
      </c>
      <c r="J24" s="105"/>
      <c r="K24" s="105"/>
      <c r="L24" s="105"/>
      <c r="M24" s="105"/>
      <c r="N24" s="105"/>
      <c r="O24" s="107"/>
      <c r="R24" s="364"/>
    </row>
    <row r="25" spans="1:18" s="103" customFormat="1" ht="26.45" customHeight="1" x14ac:dyDescent="0.25">
      <c r="A25" s="699">
        <v>110</v>
      </c>
      <c r="B25" s="698" t="s">
        <v>222</v>
      </c>
      <c r="C25" s="697" t="s">
        <v>221</v>
      </c>
      <c r="D25" s="696">
        <v>0.35</v>
      </c>
      <c r="E25" s="695"/>
      <c r="F25" s="694">
        <v>1</v>
      </c>
      <c r="G25" s="354"/>
      <c r="H25" s="354"/>
      <c r="I25" s="693">
        <f t="shared" si="0"/>
        <v>0.35</v>
      </c>
      <c r="J25" s="105"/>
      <c r="K25" s="105"/>
      <c r="L25" s="105"/>
      <c r="M25" s="105"/>
      <c r="N25" s="105"/>
      <c r="O25" s="107"/>
    </row>
    <row r="26" spans="1:18" x14ac:dyDescent="0.25">
      <c r="A26" s="657"/>
      <c r="B26" s="656"/>
      <c r="C26" s="656"/>
      <c r="D26" s="656"/>
      <c r="E26" s="656"/>
      <c r="F26" s="656"/>
      <c r="G26" s="656"/>
      <c r="H26" s="692" t="s">
        <v>20</v>
      </c>
      <c r="I26" s="691">
        <f>SUM(I15:I25)</f>
        <v>13.994000000000002</v>
      </c>
      <c r="J26" s="656"/>
      <c r="K26" s="656"/>
      <c r="L26" s="656"/>
      <c r="M26" s="656"/>
      <c r="N26" s="656"/>
      <c r="O26" s="652"/>
    </row>
    <row r="27" spans="1:18" ht="15.75" thickBot="1" x14ac:dyDescent="0.3">
      <c r="A27" s="651"/>
      <c r="B27" s="650"/>
      <c r="C27" s="650"/>
      <c r="D27" s="650"/>
      <c r="E27" s="650"/>
      <c r="F27" s="650"/>
      <c r="G27" s="650"/>
      <c r="H27" s="650"/>
      <c r="I27" s="650"/>
      <c r="J27" s="650"/>
      <c r="K27" s="650"/>
      <c r="L27" s="650"/>
      <c r="M27" s="650"/>
      <c r="N27" s="650"/>
      <c r="O27" s="649"/>
    </row>
  </sheetData>
  <hyperlinks>
    <hyperlink ref="B4" location="SU_A0300" display="Upper Back A-arm"/>
    <hyperlink ref="E3" location="dSU_03001" display="Drawing"/>
    <hyperlink ref="G2" location="SU_A0300_BOM" display="Back to BOM"/>
  </hyperlinks>
  <pageMargins left="0.31496062992125984" right="0.31496062992125984" top="0.31496062992125984" bottom="0.39370078740157483" header="0.51181102362204722" footer="0.31496062992125984"/>
  <pageSetup paperSize="9" scale="87" firstPageNumber="0" fitToHeight="99" orientation="landscape" horizontalDpi="1200" verticalDpi="1200" r:id="rId1"/>
  <rowBreaks count="2" manualBreakCount="2">
    <brk id="27" max="16383" man="1"/>
    <brk id="61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4" style="647" customWidth="1"/>
    <col min="2" max="16384" width="11.42578125" style="647"/>
  </cols>
  <sheetData>
    <row r="1" spans="1:2" x14ac:dyDescent="0.3">
      <c r="A1" s="647" t="s">
        <v>89</v>
      </c>
      <c r="B1" s="60" t="str">
        <f>SU_03001</f>
        <v>SU 03001</v>
      </c>
    </row>
  </sheetData>
  <hyperlinks>
    <hyperlink ref="B1" location="SU_03001" display="SU_0300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23.140625" style="647" customWidth="1"/>
    <col min="3" max="6" width="11.42578125" style="647"/>
    <col min="7" max="7" width="18" style="647" customWidth="1"/>
    <col min="8" max="8" width="11.42578125" style="647"/>
    <col min="9" max="9" width="21.42578125" style="647" customWidth="1"/>
    <col min="10" max="17" width="11.42578125" style="647"/>
    <col min="18" max="18" width="13.85546875" style="647" bestFit="1" customWidth="1"/>
    <col min="19" max="16384" width="11.42578125" style="647"/>
  </cols>
  <sheetData>
    <row r="1" spans="1:19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9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N12+I21</f>
        <v>1.8728805440000003</v>
      </c>
      <c r="O2" s="652"/>
    </row>
    <row r="3" spans="1:19" ht="14.45" x14ac:dyDescent="0.3">
      <c r="A3" s="719" t="s">
        <v>5</v>
      </c>
      <c r="B3" s="684" t="str">
        <f>'SU A0300'!B3</f>
        <v>Suspension &amp; Shocks</v>
      </c>
      <c r="C3" s="648"/>
      <c r="D3" s="719" t="s">
        <v>8</v>
      </c>
      <c r="E3" s="60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2</v>
      </c>
      <c r="O3" s="652"/>
    </row>
    <row r="4" spans="1:19" ht="14.45" x14ac:dyDescent="0.3">
      <c r="A4" s="719" t="s">
        <v>7</v>
      </c>
      <c r="B4" s="58" t="s">
        <v>291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9" ht="14.45" x14ac:dyDescent="0.3">
      <c r="A5" s="736" t="s">
        <v>17</v>
      </c>
      <c r="B5" s="74" t="s">
        <v>238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3.7457610880000005</v>
      </c>
      <c r="O5" s="652"/>
    </row>
    <row r="6" spans="1:19" ht="14.45" x14ac:dyDescent="0.3">
      <c r="A6" s="719" t="s">
        <v>9</v>
      </c>
      <c r="B6" s="721" t="s">
        <v>295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9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9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9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9" s="103" customFormat="1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733" t="s">
        <v>32</v>
      </c>
      <c r="G10" s="733" t="s">
        <v>33</v>
      </c>
      <c r="H10" s="733" t="s">
        <v>34</v>
      </c>
      <c r="I10" s="733" t="s">
        <v>39</v>
      </c>
      <c r="J10" s="733" t="s">
        <v>40</v>
      </c>
      <c r="K10" s="733" t="s">
        <v>41</v>
      </c>
      <c r="L10" s="733" t="s">
        <v>42</v>
      </c>
      <c r="M10" s="733" t="s">
        <v>19</v>
      </c>
      <c r="N10" s="733" t="s">
        <v>20</v>
      </c>
      <c r="O10" s="107"/>
    </row>
    <row r="11" spans="1:19" s="103" customFormat="1" ht="14.45" x14ac:dyDescent="0.3">
      <c r="A11" s="374">
        <v>10</v>
      </c>
      <c r="B11" s="354" t="s">
        <v>229</v>
      </c>
      <c r="C11" s="714" t="s">
        <v>99</v>
      </c>
      <c r="D11" s="708">
        <f>4.2</f>
        <v>4.2</v>
      </c>
      <c r="E11" s="735">
        <f>J11*K11*L11</f>
        <v>0.20437632</v>
      </c>
      <c r="F11" s="714" t="s">
        <v>153</v>
      </c>
      <c r="G11" s="714"/>
      <c r="H11" s="712"/>
      <c r="I11" s="734" t="s">
        <v>236</v>
      </c>
      <c r="J11" s="65">
        <f>3.14*20*20/1000000</f>
        <v>1.256E-3</v>
      </c>
      <c r="K11" s="388">
        <v>0.06</v>
      </c>
      <c r="L11" s="147">
        <v>2712</v>
      </c>
      <c r="M11" s="709">
        <v>1</v>
      </c>
      <c r="N11" s="708">
        <f>D11*E11*M11</f>
        <v>0.85838054400000008</v>
      </c>
      <c r="O11" s="112"/>
      <c r="P11" s="113"/>
      <c r="Q11" s="113"/>
      <c r="R11" s="113"/>
      <c r="S11" s="113"/>
    </row>
    <row r="12" spans="1:19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07" t="s">
        <v>20</v>
      </c>
      <c r="N12" s="691">
        <f>SUM(N11:N11)</f>
        <v>0.85838054400000008</v>
      </c>
      <c r="O12" s="652"/>
    </row>
    <row r="13" spans="1:19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  <c r="R13" s="704">
        <f>J11*K11/4</f>
        <v>1.8839999999999999E-5</v>
      </c>
      <c r="S13" s="704"/>
    </row>
    <row r="14" spans="1:19" s="103" customFormat="1" ht="14.45" x14ac:dyDescent="0.3">
      <c r="A14" s="370" t="s">
        <v>16</v>
      </c>
      <c r="B14" s="733" t="s">
        <v>21</v>
      </c>
      <c r="C14" s="733" t="s">
        <v>22</v>
      </c>
      <c r="D14" s="733" t="s">
        <v>23</v>
      </c>
      <c r="E14" s="733" t="s">
        <v>24</v>
      </c>
      <c r="F14" s="733" t="s">
        <v>19</v>
      </c>
      <c r="G14" s="733" t="s">
        <v>25</v>
      </c>
      <c r="H14" s="733" t="s">
        <v>26</v>
      </c>
      <c r="I14" s="733" t="s">
        <v>20</v>
      </c>
      <c r="J14" s="115"/>
      <c r="K14" s="115"/>
      <c r="L14" s="115"/>
      <c r="M14" s="115"/>
      <c r="N14" s="115"/>
      <c r="O14" s="107"/>
      <c r="R14" s="364"/>
    </row>
    <row r="15" spans="1:19" s="103" customFormat="1" ht="26.45" customHeight="1" x14ac:dyDescent="0.3">
      <c r="A15" s="730">
        <v>10</v>
      </c>
      <c r="B15" s="724" t="s">
        <v>81</v>
      </c>
      <c r="C15" s="730"/>
      <c r="D15" s="731">
        <v>1.3</v>
      </c>
      <c r="E15" s="724" t="s">
        <v>24</v>
      </c>
      <c r="F15" s="730">
        <v>1</v>
      </c>
      <c r="G15" s="730" t="s">
        <v>233</v>
      </c>
      <c r="H15" s="730">
        <f>1/16</f>
        <v>6.25E-2</v>
      </c>
      <c r="I15" s="729">
        <f t="shared" ref="I15:I20" si="0">IF(H15="",D15*F15,D15*F15*H15)</f>
        <v>8.1250000000000003E-2</v>
      </c>
      <c r="J15" s="122"/>
      <c r="K15" s="122"/>
      <c r="L15" s="122"/>
      <c r="M15" s="122"/>
      <c r="N15" s="122"/>
      <c r="O15" s="123"/>
      <c r="P15" s="124"/>
      <c r="Q15" s="124"/>
      <c r="R15" s="732"/>
      <c r="S15" s="124"/>
    </row>
    <row r="16" spans="1:19" s="103" customFormat="1" ht="28.15" customHeight="1" x14ac:dyDescent="0.3">
      <c r="A16" s="726">
        <v>20</v>
      </c>
      <c r="B16" s="724" t="s">
        <v>80</v>
      </c>
      <c r="C16" s="728" t="s">
        <v>235</v>
      </c>
      <c r="D16" s="727">
        <v>0.04</v>
      </c>
      <c r="E16" s="726" t="s">
        <v>79</v>
      </c>
      <c r="F16" s="725">
        <v>17</v>
      </c>
      <c r="G16" s="724" t="s">
        <v>104</v>
      </c>
      <c r="H16" s="563">
        <v>1</v>
      </c>
      <c r="I16" s="723">
        <f t="shared" si="0"/>
        <v>0.68</v>
      </c>
      <c r="J16" s="105"/>
      <c r="K16" s="105"/>
      <c r="L16" s="105"/>
      <c r="M16" s="105"/>
      <c r="N16" s="105"/>
      <c r="O16" s="107"/>
      <c r="R16" s="364"/>
    </row>
    <row r="17" spans="1:19" s="103" customFormat="1" ht="25.9" customHeight="1" x14ac:dyDescent="0.3">
      <c r="A17" s="730">
        <v>30</v>
      </c>
      <c r="B17" s="724" t="s">
        <v>87</v>
      </c>
      <c r="C17" s="730"/>
      <c r="D17" s="731">
        <v>0.65</v>
      </c>
      <c r="E17" s="724" t="s">
        <v>24</v>
      </c>
      <c r="F17" s="730">
        <v>1</v>
      </c>
      <c r="G17" s="730" t="s">
        <v>233</v>
      </c>
      <c r="H17" s="730">
        <f>1/16</f>
        <v>6.25E-2</v>
      </c>
      <c r="I17" s="729">
        <f t="shared" si="0"/>
        <v>4.0625000000000001E-2</v>
      </c>
      <c r="J17" s="129"/>
      <c r="K17" s="129"/>
      <c r="L17" s="129"/>
      <c r="M17" s="129"/>
      <c r="N17" s="129"/>
      <c r="O17" s="148"/>
      <c r="P17" s="149"/>
      <c r="Q17" s="149"/>
      <c r="R17" s="367"/>
      <c r="S17" s="149"/>
    </row>
    <row r="18" spans="1:19" s="103" customFormat="1" ht="15.6" customHeight="1" x14ac:dyDescent="0.3">
      <c r="A18" s="726">
        <v>40</v>
      </c>
      <c r="B18" s="724" t="s">
        <v>80</v>
      </c>
      <c r="C18" s="728" t="s">
        <v>234</v>
      </c>
      <c r="D18" s="727">
        <v>0.04</v>
      </c>
      <c r="E18" s="726" t="s">
        <v>79</v>
      </c>
      <c r="F18" s="725">
        <v>2</v>
      </c>
      <c r="G18" s="724" t="s">
        <v>104</v>
      </c>
      <c r="H18" s="563">
        <v>1</v>
      </c>
      <c r="I18" s="723">
        <f t="shared" si="0"/>
        <v>0.08</v>
      </c>
      <c r="J18" s="105"/>
      <c r="K18" s="105"/>
      <c r="L18" s="105"/>
      <c r="M18" s="105"/>
      <c r="N18" s="105"/>
      <c r="O18" s="107"/>
      <c r="R18" s="364"/>
    </row>
    <row r="19" spans="1:19" s="103" customFormat="1" ht="28.9" x14ac:dyDescent="0.3">
      <c r="A19" s="730">
        <v>50</v>
      </c>
      <c r="B19" s="724" t="s">
        <v>87</v>
      </c>
      <c r="C19" s="730"/>
      <c r="D19" s="731">
        <v>0.65</v>
      </c>
      <c r="E19" s="724" t="s">
        <v>24</v>
      </c>
      <c r="F19" s="730">
        <v>1</v>
      </c>
      <c r="G19" s="730" t="s">
        <v>233</v>
      </c>
      <c r="H19" s="730">
        <f>1/16</f>
        <v>6.25E-2</v>
      </c>
      <c r="I19" s="729">
        <f t="shared" si="0"/>
        <v>4.0625000000000001E-2</v>
      </c>
      <c r="J19" s="105"/>
      <c r="K19" s="105"/>
      <c r="L19" s="105"/>
      <c r="M19" s="105"/>
      <c r="N19" s="105"/>
      <c r="O19" s="107"/>
      <c r="R19" s="364"/>
    </row>
    <row r="20" spans="1:19" s="103" customFormat="1" ht="14.45" customHeight="1" x14ac:dyDescent="0.25">
      <c r="A20" s="726">
        <v>60</v>
      </c>
      <c r="B20" s="724" t="s">
        <v>80</v>
      </c>
      <c r="C20" s="728" t="s">
        <v>232</v>
      </c>
      <c r="D20" s="727">
        <v>0.04</v>
      </c>
      <c r="E20" s="726" t="s">
        <v>79</v>
      </c>
      <c r="F20" s="725">
        <v>2.2999999999999998</v>
      </c>
      <c r="G20" s="724" t="s">
        <v>104</v>
      </c>
      <c r="H20" s="563">
        <v>1</v>
      </c>
      <c r="I20" s="723">
        <f t="shared" si="0"/>
        <v>9.1999999999999998E-2</v>
      </c>
      <c r="J20" s="105"/>
      <c r="K20" s="105"/>
      <c r="L20" s="105"/>
      <c r="M20" s="105"/>
      <c r="N20" s="105"/>
      <c r="O20" s="107"/>
    </row>
    <row r="21" spans="1:19" x14ac:dyDescent="0.25">
      <c r="A21" s="657"/>
      <c r="B21" s="656"/>
      <c r="C21" s="656"/>
      <c r="D21" s="656"/>
      <c r="E21" s="656"/>
      <c r="F21" s="656"/>
      <c r="G21" s="656"/>
      <c r="H21" s="692" t="s">
        <v>20</v>
      </c>
      <c r="I21" s="691">
        <f>SUM(I15:I20)</f>
        <v>1.0145000000000002</v>
      </c>
      <c r="J21" s="656"/>
      <c r="K21" s="656"/>
      <c r="L21" s="656"/>
      <c r="M21" s="656"/>
      <c r="N21" s="656"/>
      <c r="O21" s="652"/>
    </row>
    <row r="22" spans="1:19" ht="15.75" thickBot="1" x14ac:dyDescent="0.3">
      <c r="A22" s="651"/>
      <c r="B22" s="650"/>
      <c r="C22" s="650"/>
      <c r="D22" s="650"/>
      <c r="E22" s="650"/>
      <c r="F22" s="650"/>
      <c r="G22" s="650"/>
      <c r="H22" s="650"/>
      <c r="I22" s="650"/>
      <c r="J22" s="650"/>
      <c r="K22" s="650"/>
      <c r="L22" s="650"/>
      <c r="M22" s="650"/>
      <c r="N22" s="650"/>
      <c r="O22" s="649"/>
    </row>
  </sheetData>
  <hyperlinks>
    <hyperlink ref="B4" location="SU_A0300" display="Upper Back A-arm"/>
    <hyperlink ref="E3" location="dSU_03002" display="Drawing"/>
    <hyperlink ref="G2" location="SU_A0300_BOM" display="Back to BOM"/>
  </hyperlinks>
  <pageMargins left="0.31496062992125984" right="0.31496062992125984" top="0.31496062992125984" bottom="0.39370078740157483" header="0.51181102362204722" footer="0.31496062992125984"/>
  <pageSetup paperSize="9" scale="60" fitToHeight="99" orientation="landscape" horizontalDpi="1200" verticalDpi="1200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8.85546875" style="647" customWidth="1"/>
    <col min="2" max="16384" width="11.42578125" style="647"/>
  </cols>
  <sheetData>
    <row r="1" spans="1:2" x14ac:dyDescent="0.3">
      <c r="A1" s="647" t="s">
        <v>89</v>
      </c>
      <c r="B1" s="60" t="str">
        <f>SU_03002</f>
        <v>SU 03002</v>
      </c>
    </row>
    <row r="4" spans="1:2" x14ac:dyDescent="0.3">
      <c r="B4" s="647" t="s">
        <v>265</v>
      </c>
    </row>
    <row r="5" spans="1:2" x14ac:dyDescent="0.3">
      <c r="B5" s="647" t="s">
        <v>264</v>
      </c>
    </row>
    <row r="6" spans="1:2" x14ac:dyDescent="0.3">
      <c r="B6" s="737"/>
    </row>
  </sheetData>
  <hyperlinks>
    <hyperlink ref="B1" location="SU_03002" display="SU_03002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90" zoomScaleNormal="90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20.42578125" style="647" customWidth="1"/>
    <col min="3" max="3" width="33" style="647" customWidth="1"/>
    <col min="4" max="4" width="11.42578125" style="647"/>
    <col min="5" max="5" width="17" style="647" customWidth="1"/>
    <col min="6" max="16384" width="11.42578125" style="647"/>
  </cols>
  <sheetData>
    <row r="1" spans="1:15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5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N12+I16</f>
        <v>10.876934879999999</v>
      </c>
      <c r="O2" s="652"/>
    </row>
    <row r="3" spans="1:15" ht="14.45" x14ac:dyDescent="0.3">
      <c r="A3" s="719" t="s">
        <v>5</v>
      </c>
      <c r="B3" s="684" t="str">
        <f>'SU A0300'!B3</f>
        <v>Suspension &amp; Shocks</v>
      </c>
      <c r="C3" s="648"/>
      <c r="D3" s="719" t="s">
        <v>8</v>
      </c>
      <c r="E3" s="647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1</v>
      </c>
      <c r="O3" s="652"/>
    </row>
    <row r="4" spans="1:15" ht="14.45" x14ac:dyDescent="0.3">
      <c r="A4" s="719" t="s">
        <v>7</v>
      </c>
      <c r="B4" s="58" t="s">
        <v>291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5" ht="14.45" x14ac:dyDescent="0.3">
      <c r="A5" s="719" t="s">
        <v>17</v>
      </c>
      <c r="B5" s="71" t="s">
        <v>297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10.876934879999999</v>
      </c>
      <c r="O5" s="652"/>
    </row>
    <row r="6" spans="1:15" ht="14.45" x14ac:dyDescent="0.3">
      <c r="A6" s="719" t="s">
        <v>9</v>
      </c>
      <c r="B6" s="721" t="s">
        <v>296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5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5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5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5" ht="14.45" x14ac:dyDescent="0.3">
      <c r="A10" s="716" t="s">
        <v>16</v>
      </c>
      <c r="B10" s="715" t="s">
        <v>38</v>
      </c>
      <c r="C10" s="715" t="s">
        <v>22</v>
      </c>
      <c r="D10" s="715" t="s">
        <v>23</v>
      </c>
      <c r="E10" s="715" t="s">
        <v>31</v>
      </c>
      <c r="F10" s="742" t="s">
        <v>32</v>
      </c>
      <c r="G10" s="742" t="s">
        <v>33</v>
      </c>
      <c r="H10" s="742" t="s">
        <v>34</v>
      </c>
      <c r="I10" s="742" t="s">
        <v>39</v>
      </c>
      <c r="J10" s="742" t="s">
        <v>40</v>
      </c>
      <c r="K10" s="742" t="s">
        <v>41</v>
      </c>
      <c r="L10" s="742" t="s">
        <v>42</v>
      </c>
      <c r="M10" s="742" t="s">
        <v>19</v>
      </c>
      <c r="N10" s="742" t="s">
        <v>20</v>
      </c>
      <c r="O10" s="652"/>
    </row>
    <row r="11" spans="1:15" ht="14.45" x14ac:dyDescent="0.3">
      <c r="A11" s="243">
        <v>10</v>
      </c>
      <c r="B11" s="427" t="s">
        <v>118</v>
      </c>
      <c r="C11" s="428" t="s">
        <v>119</v>
      </c>
      <c r="D11" s="741">
        <f>200*E11*L11</f>
        <v>9.6683865599999983</v>
      </c>
      <c r="E11" s="734">
        <f>J11*K11</f>
        <v>3.0596159999999994E-5</v>
      </c>
      <c r="F11" s="714" t="s">
        <v>240</v>
      </c>
      <c r="G11" s="714"/>
      <c r="H11" s="712"/>
      <c r="I11" s="734" t="s">
        <v>239</v>
      </c>
      <c r="J11" s="65">
        <f>3.14*(0.008*0.008-0.006*0.006)</f>
        <v>8.7919999999999985E-5</v>
      </c>
      <c r="K11" s="68">
        <v>0.34799999999999998</v>
      </c>
      <c r="L11" s="147">
        <v>1580</v>
      </c>
      <c r="M11" s="740">
        <v>1</v>
      </c>
      <c r="N11" s="708">
        <f>D11*M11</f>
        <v>9.6683865599999983</v>
      </c>
      <c r="O11" s="676"/>
    </row>
    <row r="12" spans="1:15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07" t="s">
        <v>20</v>
      </c>
      <c r="N12" s="691">
        <f>SUM(N11:N11)</f>
        <v>9.6683865599999983</v>
      </c>
      <c r="O12" s="652"/>
    </row>
    <row r="13" spans="1:15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</row>
    <row r="14" spans="1:15" ht="14.45" x14ac:dyDescent="0.3">
      <c r="A14" s="706" t="s">
        <v>16</v>
      </c>
      <c r="B14" s="705" t="s">
        <v>21</v>
      </c>
      <c r="C14" s="705" t="s">
        <v>22</v>
      </c>
      <c r="D14" s="705" t="s">
        <v>23</v>
      </c>
      <c r="E14" s="705" t="s">
        <v>24</v>
      </c>
      <c r="F14" s="705" t="s">
        <v>19</v>
      </c>
      <c r="G14" s="705" t="s">
        <v>25</v>
      </c>
      <c r="H14" s="705" t="s">
        <v>26</v>
      </c>
      <c r="I14" s="705" t="s">
        <v>20</v>
      </c>
      <c r="J14" s="656"/>
      <c r="K14" s="656"/>
      <c r="L14" s="656"/>
      <c r="M14" s="656"/>
      <c r="N14" s="656"/>
      <c r="O14" s="652"/>
    </row>
    <row r="15" spans="1:15" ht="29.45" customHeight="1" x14ac:dyDescent="0.3">
      <c r="A15" s="739">
        <v>10</v>
      </c>
      <c r="B15" s="739" t="s">
        <v>120</v>
      </c>
      <c r="C15" s="739" t="s">
        <v>121</v>
      </c>
      <c r="D15" s="548">
        <v>25</v>
      </c>
      <c r="E15" s="527" t="s">
        <v>43</v>
      </c>
      <c r="F15" s="738">
        <f>J11*K11*L11</f>
        <v>4.8341932799999994E-2</v>
      </c>
      <c r="G15" s="562"/>
      <c r="H15" s="562"/>
      <c r="I15" s="528">
        <f>IF(H15="",D15*F15,D15*F15*H15)</f>
        <v>1.2085483199999998</v>
      </c>
      <c r="J15" s="658"/>
      <c r="K15" s="658"/>
      <c r="L15" s="658"/>
      <c r="M15" s="658"/>
      <c r="N15" s="658"/>
      <c r="O15" s="671"/>
    </row>
    <row r="16" spans="1:15" ht="14.45" x14ac:dyDescent="0.3">
      <c r="A16" s="657"/>
      <c r="B16" s="656"/>
      <c r="C16" s="656"/>
      <c r="D16" s="656"/>
      <c r="E16" s="656"/>
      <c r="F16" s="656"/>
      <c r="G16" s="656"/>
      <c r="H16" s="692" t="s">
        <v>20</v>
      </c>
      <c r="I16" s="691">
        <f>SUM(I15:I15)</f>
        <v>1.2085483199999998</v>
      </c>
      <c r="J16" s="656"/>
      <c r="K16" s="656"/>
      <c r="L16" s="656"/>
      <c r="M16" s="656"/>
      <c r="N16" s="656"/>
      <c r="O16" s="652"/>
    </row>
    <row r="17" spans="1:15" thickBot="1" x14ac:dyDescent="0.35">
      <c r="A17" s="651"/>
      <c r="B17" s="650"/>
      <c r="C17" s="650"/>
      <c r="D17" s="650"/>
      <c r="E17" s="650"/>
      <c r="F17" s="650"/>
      <c r="G17" s="650"/>
      <c r="H17" s="650"/>
      <c r="I17" s="650"/>
      <c r="J17" s="650"/>
      <c r="K17" s="650"/>
      <c r="L17" s="650"/>
      <c r="M17" s="650"/>
      <c r="N17" s="650"/>
      <c r="O17" s="649"/>
    </row>
  </sheetData>
  <hyperlinks>
    <hyperlink ref="B4" location="SU_A0300" display="Upper Back A-arm"/>
    <hyperlink ref="G2" location="SU_A0300_BOM" display="Back to BOM"/>
  </hyperlinks>
  <pageMargins left="0.31496062992125984" right="0.31496062992125984" top="0.31496062992125984" bottom="0.39370078740157483" header="0.51181102362204722" footer="0.31496062992125984"/>
  <pageSetup paperSize="9" scale="68" fitToHeight="99" orientation="landscape" horizontalDpi="1200" verticalDpi="12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85" zoomScaleNormal="85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113"/>
    <col min="2" max="2" width="35" style="113" customWidth="1"/>
    <col min="3" max="3" width="22.140625" style="113" customWidth="1"/>
    <col min="4" max="4" width="8.7109375" style="113" customWidth="1"/>
    <col min="5" max="6" width="11.42578125" style="113"/>
    <col min="7" max="7" width="27.42578125" style="113" customWidth="1"/>
    <col min="8" max="8" width="11.42578125" style="113"/>
    <col min="9" max="9" width="21.42578125" style="113" customWidth="1"/>
    <col min="10" max="14" width="11.42578125" style="113"/>
    <col min="15" max="15" width="8.5703125" style="113" customWidth="1"/>
    <col min="16" max="17" width="11.42578125" style="113"/>
    <col min="18" max="18" width="13.85546875" style="113" bestFit="1" customWidth="1"/>
    <col min="19" max="16384" width="11.42578125" style="113"/>
  </cols>
  <sheetData>
    <row r="1" spans="1:19" ht="14.4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ht="14.45" x14ac:dyDescent="0.3">
      <c r="A2" s="394" t="s">
        <v>0</v>
      </c>
      <c r="B2" s="155" t="s">
        <v>1</v>
      </c>
      <c r="C2" s="117"/>
      <c r="D2" s="117"/>
      <c r="E2" s="117"/>
      <c r="F2" s="117"/>
      <c r="G2" s="156" t="s">
        <v>2</v>
      </c>
      <c r="H2" s="117"/>
      <c r="I2" s="117"/>
      <c r="J2" s="379" t="s">
        <v>3</v>
      </c>
      <c r="K2" s="106">
        <v>81</v>
      </c>
      <c r="L2" s="117"/>
      <c r="M2" s="394" t="s">
        <v>18</v>
      </c>
      <c r="N2" s="46">
        <f>N12+I21</f>
        <v>1.8728805440000003</v>
      </c>
      <c r="O2" s="112"/>
    </row>
    <row r="3" spans="1:19" ht="14.45" x14ac:dyDescent="0.3">
      <c r="A3" s="394" t="s">
        <v>5</v>
      </c>
      <c r="B3" s="155" t="str">
        <f>'SU A0100'!B3</f>
        <v>Suspension &amp; Shocks</v>
      </c>
      <c r="C3" s="117"/>
      <c r="D3" s="394" t="s">
        <v>8</v>
      </c>
      <c r="E3" s="396" t="s">
        <v>84</v>
      </c>
      <c r="F3" s="117"/>
      <c r="G3" s="117"/>
      <c r="H3" s="117"/>
      <c r="I3" s="117"/>
      <c r="J3" s="117"/>
      <c r="K3" s="117"/>
      <c r="L3" s="117"/>
      <c r="M3" s="394" t="s">
        <v>6</v>
      </c>
      <c r="N3" s="47">
        <v>2</v>
      </c>
      <c r="O3" s="112"/>
    </row>
    <row r="4" spans="1:19" ht="14.45" x14ac:dyDescent="0.3">
      <c r="A4" s="394" t="s">
        <v>7</v>
      </c>
      <c r="B4" s="156" t="str">
        <f>'SU A0100'!B4</f>
        <v>Upper Front A-arm</v>
      </c>
      <c r="C4" s="117"/>
      <c r="D4" s="394" t="s">
        <v>10</v>
      </c>
      <c r="E4" s="117"/>
      <c r="F4" s="117"/>
      <c r="G4" s="117"/>
      <c r="H4" s="117"/>
      <c r="I4" s="117"/>
      <c r="J4" s="395" t="s">
        <v>8</v>
      </c>
      <c r="K4" s="117"/>
      <c r="L4" s="117"/>
      <c r="M4" s="117"/>
      <c r="N4" s="117"/>
      <c r="O4" s="112"/>
    </row>
    <row r="5" spans="1:19" ht="14.45" x14ac:dyDescent="0.3">
      <c r="A5" s="394" t="s">
        <v>17</v>
      </c>
      <c r="B5" s="71" t="s">
        <v>238</v>
      </c>
      <c r="C5" s="117"/>
      <c r="D5" s="394" t="s">
        <v>14</v>
      </c>
      <c r="E5" s="117"/>
      <c r="F5" s="117"/>
      <c r="G5" s="117"/>
      <c r="H5" s="117"/>
      <c r="I5" s="117"/>
      <c r="J5" s="395" t="s">
        <v>10</v>
      </c>
      <c r="K5" s="117"/>
      <c r="L5" s="117"/>
      <c r="M5" s="394" t="s">
        <v>11</v>
      </c>
      <c r="N5" s="46">
        <f>N3*N2</f>
        <v>3.7457610880000005</v>
      </c>
      <c r="O5" s="112"/>
    </row>
    <row r="6" spans="1:19" ht="14.45" x14ac:dyDescent="0.3">
      <c r="A6" s="394" t="s">
        <v>9</v>
      </c>
      <c r="B6" s="109" t="s">
        <v>237</v>
      </c>
      <c r="C6" s="117"/>
      <c r="D6" s="117"/>
      <c r="E6" s="117"/>
      <c r="F6" s="117"/>
      <c r="G6" s="117"/>
      <c r="H6" s="117"/>
      <c r="I6" s="117"/>
      <c r="J6" s="395" t="s">
        <v>14</v>
      </c>
      <c r="K6" s="117"/>
      <c r="L6" s="117"/>
      <c r="M6" s="117"/>
      <c r="N6" s="117"/>
      <c r="O6" s="112"/>
    </row>
    <row r="7" spans="1:19" ht="14.45" x14ac:dyDescent="0.3">
      <c r="A7" s="394" t="s">
        <v>12</v>
      </c>
      <c r="B7" s="155" t="s">
        <v>13</v>
      </c>
      <c r="C7" s="117"/>
      <c r="D7" s="117"/>
      <c r="E7" s="117"/>
      <c r="F7" s="117"/>
      <c r="G7" s="117"/>
      <c r="H7" s="117"/>
      <c r="I7" s="117"/>
      <c r="J7" s="117"/>
      <c r="K7" s="117"/>
      <c r="L7" s="117"/>
      <c r="M7" s="117"/>
      <c r="N7" s="117"/>
      <c r="O7" s="112"/>
    </row>
    <row r="8" spans="1:19" ht="14.45" x14ac:dyDescent="0.3">
      <c r="A8" s="394" t="s">
        <v>15</v>
      </c>
      <c r="B8" s="155"/>
      <c r="C8" s="117"/>
      <c r="D8" s="117"/>
      <c r="E8" s="117"/>
      <c r="F8" s="117"/>
      <c r="G8" s="117"/>
      <c r="H8" s="117"/>
      <c r="I8" s="117"/>
      <c r="J8" s="117"/>
      <c r="K8" s="117"/>
      <c r="L8" s="117"/>
      <c r="M8" s="117"/>
      <c r="N8" s="117"/>
      <c r="O8" s="112"/>
    </row>
    <row r="9" spans="1:19" ht="14.45" x14ac:dyDescent="0.3">
      <c r="A9" s="393"/>
      <c r="B9" s="392"/>
      <c r="C9" s="392"/>
      <c r="D9" s="392"/>
      <c r="E9" s="392"/>
      <c r="F9" s="117"/>
      <c r="G9" s="117"/>
      <c r="H9" s="117"/>
      <c r="I9" s="117"/>
      <c r="J9" s="117"/>
      <c r="K9" s="117"/>
      <c r="L9" s="117"/>
      <c r="M9" s="117"/>
      <c r="N9" s="117"/>
      <c r="O9" s="112"/>
    </row>
    <row r="10" spans="1:19" ht="14.45" x14ac:dyDescent="0.3">
      <c r="A10" s="391" t="s">
        <v>16</v>
      </c>
      <c r="B10" s="390" t="s">
        <v>38</v>
      </c>
      <c r="C10" s="390" t="s">
        <v>22</v>
      </c>
      <c r="D10" s="390" t="s">
        <v>23</v>
      </c>
      <c r="E10" s="390" t="s">
        <v>31</v>
      </c>
      <c r="F10" s="386" t="s">
        <v>32</v>
      </c>
      <c r="G10" s="386" t="s">
        <v>33</v>
      </c>
      <c r="H10" s="386" t="s">
        <v>34</v>
      </c>
      <c r="I10" s="386" t="s">
        <v>39</v>
      </c>
      <c r="J10" s="386" t="s">
        <v>40</v>
      </c>
      <c r="K10" s="386" t="s">
        <v>41</v>
      </c>
      <c r="L10" s="386" t="s">
        <v>42</v>
      </c>
      <c r="M10" s="386" t="s">
        <v>19</v>
      </c>
      <c r="N10" s="386" t="s">
        <v>20</v>
      </c>
      <c r="O10" s="112"/>
    </row>
    <row r="11" spans="1:19" ht="14.45" x14ac:dyDescent="0.3">
      <c r="A11" s="374">
        <v>10</v>
      </c>
      <c r="B11" s="337" t="s">
        <v>229</v>
      </c>
      <c r="C11" s="373" t="s">
        <v>99</v>
      </c>
      <c r="D11" s="167">
        <f>4.2</f>
        <v>4.2</v>
      </c>
      <c r="E11" s="389">
        <f>J11*K11*L11</f>
        <v>0.20437632</v>
      </c>
      <c r="F11" s="373" t="s">
        <v>153</v>
      </c>
      <c r="G11" s="373"/>
      <c r="H11" s="168"/>
      <c r="I11" s="372" t="s">
        <v>236</v>
      </c>
      <c r="J11" s="65">
        <f>3.14*20*20/1000000</f>
        <v>1.256E-3</v>
      </c>
      <c r="K11" s="388">
        <v>0.06</v>
      </c>
      <c r="L11" s="147">
        <v>2712</v>
      </c>
      <c r="M11" s="175">
        <v>1</v>
      </c>
      <c r="N11" s="167">
        <f>D11*E11*M11</f>
        <v>0.85838054400000008</v>
      </c>
      <c r="O11" s="112"/>
    </row>
    <row r="12" spans="1:19" ht="14.45" x14ac:dyDescent="0.3">
      <c r="A12" s="159"/>
      <c r="B12" s="160"/>
      <c r="C12" s="160"/>
      <c r="D12" s="160"/>
      <c r="E12" s="160"/>
      <c r="F12" s="160"/>
      <c r="G12" s="160"/>
      <c r="H12" s="160"/>
      <c r="I12" s="160"/>
      <c r="J12" s="160"/>
      <c r="K12" s="160"/>
      <c r="L12" s="160"/>
      <c r="M12" s="371" t="s">
        <v>20</v>
      </c>
      <c r="N12" s="380">
        <f>SUM(N11:N11)</f>
        <v>0.85838054400000008</v>
      </c>
      <c r="O12" s="112"/>
    </row>
    <row r="13" spans="1:19" ht="14.45" x14ac:dyDescent="0.3">
      <c r="A13" s="158"/>
      <c r="B13" s="117"/>
      <c r="C13" s="117"/>
      <c r="D13" s="117"/>
      <c r="E13" s="117"/>
      <c r="F13" s="117"/>
      <c r="G13" s="117"/>
      <c r="H13" s="117"/>
      <c r="I13" s="117"/>
      <c r="J13" s="117"/>
      <c r="K13" s="117"/>
      <c r="L13" s="117"/>
      <c r="M13" s="117"/>
      <c r="N13" s="117"/>
      <c r="O13" s="112"/>
      <c r="R13" s="384"/>
      <c r="S13" s="384"/>
    </row>
    <row r="14" spans="1:19" ht="14.45" x14ac:dyDescent="0.3">
      <c r="A14" s="387" t="s">
        <v>16</v>
      </c>
      <c r="B14" s="386" t="s">
        <v>21</v>
      </c>
      <c r="C14" s="386" t="s">
        <v>22</v>
      </c>
      <c r="D14" s="386" t="s">
        <v>23</v>
      </c>
      <c r="E14" s="386" t="s">
        <v>24</v>
      </c>
      <c r="F14" s="386" t="s">
        <v>19</v>
      </c>
      <c r="G14" s="386" t="s">
        <v>25</v>
      </c>
      <c r="H14" s="386" t="s">
        <v>26</v>
      </c>
      <c r="I14" s="386" t="s">
        <v>20</v>
      </c>
      <c r="J14" s="160"/>
      <c r="K14" s="160"/>
      <c r="L14" s="160"/>
      <c r="M14" s="160"/>
      <c r="N14" s="160"/>
      <c r="O14" s="112"/>
      <c r="R14" s="384"/>
    </row>
    <row r="15" spans="1:19" ht="14.45" x14ac:dyDescent="0.3">
      <c r="A15" s="331">
        <v>10</v>
      </c>
      <c r="B15" s="381" t="s">
        <v>81</v>
      </c>
      <c r="C15" s="331"/>
      <c r="D15" s="205">
        <v>1.3</v>
      </c>
      <c r="E15" s="381" t="s">
        <v>24</v>
      </c>
      <c r="F15" s="331">
        <v>1</v>
      </c>
      <c r="G15" s="331" t="s">
        <v>233</v>
      </c>
      <c r="H15" s="331">
        <f>1/16</f>
        <v>6.25E-2</v>
      </c>
      <c r="I15" s="230">
        <f t="shared" ref="I15:I20" si="0">IF(H15="",D15*F15,D15*F15*H15)</f>
        <v>8.1250000000000003E-2</v>
      </c>
      <c r="J15" s="117"/>
      <c r="K15" s="117"/>
      <c r="L15" s="117"/>
      <c r="M15" s="117"/>
      <c r="N15" s="117"/>
      <c r="O15" s="112"/>
      <c r="R15" s="384"/>
    </row>
    <row r="16" spans="1:19" ht="16.5" customHeight="1" x14ac:dyDescent="0.3">
      <c r="A16" s="383">
        <v>20</v>
      </c>
      <c r="B16" s="381" t="s">
        <v>80</v>
      </c>
      <c r="C16" s="383" t="s">
        <v>235</v>
      </c>
      <c r="D16" s="205">
        <v>0.04</v>
      </c>
      <c r="E16" s="383" t="s">
        <v>79</v>
      </c>
      <c r="F16" s="382">
        <v>17</v>
      </c>
      <c r="G16" s="381" t="s">
        <v>104</v>
      </c>
      <c r="H16" s="331">
        <v>1</v>
      </c>
      <c r="I16" s="230">
        <f t="shared" si="0"/>
        <v>0.68</v>
      </c>
      <c r="J16" s="117"/>
      <c r="K16" s="117"/>
      <c r="L16" s="117"/>
      <c r="M16" s="117"/>
      <c r="N16" s="117"/>
      <c r="O16" s="112"/>
      <c r="R16" s="384"/>
    </row>
    <row r="17" spans="1:19" ht="14.45" x14ac:dyDescent="0.3">
      <c r="A17" s="331">
        <v>30</v>
      </c>
      <c r="B17" s="381" t="s">
        <v>87</v>
      </c>
      <c r="C17" s="331"/>
      <c r="D17" s="205">
        <v>0.65</v>
      </c>
      <c r="E17" s="381" t="s">
        <v>24</v>
      </c>
      <c r="F17" s="331">
        <v>1</v>
      </c>
      <c r="G17" s="331" t="s">
        <v>233</v>
      </c>
      <c r="H17" s="331">
        <f>1/16</f>
        <v>6.25E-2</v>
      </c>
      <c r="I17" s="230">
        <f t="shared" si="0"/>
        <v>4.0625000000000001E-2</v>
      </c>
      <c r="J17" s="157"/>
      <c r="K17" s="157"/>
      <c r="L17" s="157"/>
      <c r="M17" s="157"/>
      <c r="N17" s="157"/>
      <c r="O17" s="161"/>
      <c r="P17" s="162"/>
      <c r="Q17" s="162"/>
      <c r="R17" s="385"/>
      <c r="S17" s="162"/>
    </row>
    <row r="18" spans="1:19" ht="15.6" customHeight="1" x14ac:dyDescent="0.3">
      <c r="A18" s="383">
        <v>40</v>
      </c>
      <c r="B18" s="381" t="s">
        <v>80</v>
      </c>
      <c r="C18" s="383" t="s">
        <v>234</v>
      </c>
      <c r="D18" s="205">
        <v>0.04</v>
      </c>
      <c r="E18" s="383" t="s">
        <v>79</v>
      </c>
      <c r="F18" s="382">
        <v>2</v>
      </c>
      <c r="G18" s="381" t="s">
        <v>104</v>
      </c>
      <c r="H18" s="331">
        <v>1</v>
      </c>
      <c r="I18" s="230">
        <f t="shared" si="0"/>
        <v>0.08</v>
      </c>
      <c r="J18" s="117"/>
      <c r="K18" s="117"/>
      <c r="L18" s="117"/>
      <c r="M18" s="117"/>
      <c r="N18" s="117"/>
      <c r="O18" s="112"/>
      <c r="R18" s="384"/>
    </row>
    <row r="19" spans="1:19" ht="14.45" x14ac:dyDescent="0.3">
      <c r="A19" s="331">
        <v>50</v>
      </c>
      <c r="B19" s="381" t="s">
        <v>87</v>
      </c>
      <c r="C19" s="331"/>
      <c r="D19" s="205">
        <v>0.65</v>
      </c>
      <c r="E19" s="381" t="s">
        <v>24</v>
      </c>
      <c r="F19" s="331">
        <v>1</v>
      </c>
      <c r="G19" s="331" t="s">
        <v>233</v>
      </c>
      <c r="H19" s="331">
        <f>1/16</f>
        <v>6.25E-2</v>
      </c>
      <c r="I19" s="230">
        <f t="shared" si="0"/>
        <v>4.0625000000000001E-2</v>
      </c>
      <c r="J19" s="117"/>
      <c r="K19" s="117"/>
      <c r="L19" s="117"/>
      <c r="M19" s="117"/>
      <c r="N19" s="117"/>
      <c r="O19" s="112"/>
      <c r="R19" s="384"/>
    </row>
    <row r="20" spans="1:19" ht="14.45" customHeight="1" x14ac:dyDescent="0.3">
      <c r="A20" s="383">
        <v>60</v>
      </c>
      <c r="B20" s="381" t="s">
        <v>80</v>
      </c>
      <c r="C20" s="383" t="s">
        <v>232</v>
      </c>
      <c r="D20" s="205">
        <v>0.04</v>
      </c>
      <c r="E20" s="383" t="s">
        <v>79</v>
      </c>
      <c r="F20" s="382">
        <v>2.2999999999999998</v>
      </c>
      <c r="G20" s="381" t="s">
        <v>104</v>
      </c>
      <c r="H20" s="331">
        <v>1</v>
      </c>
      <c r="I20" s="230">
        <f t="shared" si="0"/>
        <v>9.1999999999999998E-2</v>
      </c>
      <c r="J20" s="117"/>
      <c r="K20" s="117"/>
      <c r="L20" s="117"/>
      <c r="M20" s="117"/>
      <c r="N20" s="117"/>
      <c r="O20" s="112"/>
    </row>
    <row r="21" spans="1:19" ht="14.45" x14ac:dyDescent="0.3">
      <c r="A21" s="159"/>
      <c r="B21" s="160"/>
      <c r="C21" s="160"/>
      <c r="D21" s="160"/>
      <c r="E21" s="160"/>
      <c r="F21" s="160"/>
      <c r="G21" s="160"/>
      <c r="H21" s="359" t="s">
        <v>20</v>
      </c>
      <c r="I21" s="380">
        <f>SUM(I15:I20)</f>
        <v>1.0145000000000002</v>
      </c>
      <c r="J21" s="160"/>
      <c r="K21" s="160"/>
      <c r="L21" s="160"/>
      <c r="M21" s="160"/>
      <c r="N21" s="160"/>
      <c r="O21" s="112"/>
    </row>
    <row r="22" spans="1:19" thickBot="1" x14ac:dyDescent="0.35">
      <c r="A22" s="163"/>
      <c r="B22" s="164"/>
      <c r="C22" s="164"/>
      <c r="D22" s="164"/>
      <c r="E22" s="164"/>
      <c r="F22" s="164"/>
      <c r="G22" s="164"/>
      <c r="H22" s="164"/>
      <c r="I22" s="164"/>
      <c r="J22" s="164"/>
      <c r="K22" s="164"/>
      <c r="L22" s="164"/>
      <c r="M22" s="164"/>
      <c r="N22" s="164"/>
      <c r="O22" s="165"/>
    </row>
  </sheetData>
  <hyperlinks>
    <hyperlink ref="B4" location="'SU A0100'!A1" display="'SU A0100'!A1"/>
    <hyperlink ref="E3" location="dSU_01002" display="Drawing"/>
    <hyperlink ref="G2" location="SU_A0100_BOM" display="Back to BOM"/>
  </hyperlinks>
  <pageMargins left="0.31496062992125984" right="0.31496062992125984" top="0.31496062992125984" bottom="0.39370078740157483" header="0.51181102362204722" footer="0.31496062992125984"/>
  <pageSetup paperSize="9" scale="62" fitToHeight="99" orientation="landscape" horizontalDpi="1200" verticalDpi="1200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90" zoomScaleNormal="90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33.85546875" style="647" customWidth="1"/>
    <col min="3" max="3" width="46.7109375" style="647" customWidth="1"/>
    <col min="4" max="4" width="11.42578125" style="647"/>
    <col min="5" max="5" width="18.28515625" style="647" customWidth="1"/>
    <col min="6" max="16384" width="11.42578125" style="647"/>
  </cols>
  <sheetData>
    <row r="1" spans="1:15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5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N12+I16</f>
        <v>4.3445228399999989</v>
      </c>
      <c r="O2" s="652"/>
    </row>
    <row r="3" spans="1:15" ht="14.45" x14ac:dyDescent="0.3">
      <c r="A3" s="719" t="s">
        <v>5</v>
      </c>
      <c r="B3" s="684" t="str">
        <f>'SU A0300'!B3</f>
        <v>Suspension &amp; Shocks</v>
      </c>
      <c r="C3" s="648"/>
      <c r="D3" s="719" t="s">
        <v>8</v>
      </c>
      <c r="E3" s="647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1</v>
      </c>
      <c r="O3" s="652"/>
    </row>
    <row r="4" spans="1:15" ht="14.45" x14ac:dyDescent="0.3">
      <c r="A4" s="719" t="s">
        <v>7</v>
      </c>
      <c r="B4" s="58" t="s">
        <v>291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5" ht="14.45" x14ac:dyDescent="0.3">
      <c r="A5" s="719" t="s">
        <v>17</v>
      </c>
      <c r="B5" s="71" t="s">
        <v>299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4.3445228399999989</v>
      </c>
      <c r="O5" s="652"/>
    </row>
    <row r="6" spans="1:15" ht="14.45" x14ac:dyDescent="0.3">
      <c r="A6" s="719" t="s">
        <v>9</v>
      </c>
      <c r="B6" s="721" t="s">
        <v>298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5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5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5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5" ht="14.45" x14ac:dyDescent="0.3">
      <c r="A10" s="716" t="s">
        <v>16</v>
      </c>
      <c r="B10" s="715" t="s">
        <v>38</v>
      </c>
      <c r="C10" s="715" t="s">
        <v>22</v>
      </c>
      <c r="D10" s="715" t="s">
        <v>23</v>
      </c>
      <c r="E10" s="715" t="s">
        <v>31</v>
      </c>
      <c r="F10" s="742" t="s">
        <v>32</v>
      </c>
      <c r="G10" s="742" t="s">
        <v>33</v>
      </c>
      <c r="H10" s="742" t="s">
        <v>34</v>
      </c>
      <c r="I10" s="742" t="s">
        <v>39</v>
      </c>
      <c r="J10" s="742" t="s">
        <v>40</v>
      </c>
      <c r="K10" s="742" t="s">
        <v>41</v>
      </c>
      <c r="L10" s="742" t="s">
        <v>42</v>
      </c>
      <c r="M10" s="742" t="s">
        <v>19</v>
      </c>
      <c r="N10" s="742" t="s">
        <v>20</v>
      </c>
      <c r="O10" s="652"/>
    </row>
    <row r="11" spans="1:15" ht="14.45" x14ac:dyDescent="0.3">
      <c r="A11" s="374">
        <v>10</v>
      </c>
      <c r="B11" s="427" t="s">
        <v>118</v>
      </c>
      <c r="C11" s="428" t="s">
        <v>119</v>
      </c>
      <c r="D11" s="413">
        <f>200*E11*L11</f>
        <v>3.8617980799999994</v>
      </c>
      <c r="E11" s="65">
        <f>J11*K11</f>
        <v>1.2220879999999999E-5</v>
      </c>
      <c r="F11" s="373" t="s">
        <v>240</v>
      </c>
      <c r="G11" s="373"/>
      <c r="H11" s="168"/>
      <c r="I11" s="372" t="s">
        <v>239</v>
      </c>
      <c r="J11" s="65">
        <f>3.14*(0.008*0.008-0.006*0.006)</f>
        <v>8.7919999999999985E-5</v>
      </c>
      <c r="K11" s="68">
        <v>0.13900000000000001</v>
      </c>
      <c r="L11" s="147">
        <v>1580</v>
      </c>
      <c r="M11" s="171">
        <v>1</v>
      </c>
      <c r="N11" s="167">
        <f>D11*M11</f>
        <v>3.8617980799999994</v>
      </c>
      <c r="O11" s="676"/>
    </row>
    <row r="12" spans="1:15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43" t="s">
        <v>20</v>
      </c>
      <c r="N12" s="691">
        <f>SUM(N11:N11)</f>
        <v>3.8617980799999994</v>
      </c>
      <c r="O12" s="652"/>
    </row>
    <row r="13" spans="1:15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</row>
    <row r="14" spans="1:15" ht="14.45" x14ac:dyDescent="0.3">
      <c r="A14" s="706" t="s">
        <v>16</v>
      </c>
      <c r="B14" s="742" t="s">
        <v>21</v>
      </c>
      <c r="C14" s="742" t="s">
        <v>22</v>
      </c>
      <c r="D14" s="742" t="s">
        <v>23</v>
      </c>
      <c r="E14" s="742" t="s">
        <v>24</v>
      </c>
      <c r="F14" s="742" t="s">
        <v>19</v>
      </c>
      <c r="G14" s="742" t="s">
        <v>25</v>
      </c>
      <c r="H14" s="742" t="s">
        <v>26</v>
      </c>
      <c r="I14" s="742" t="s">
        <v>20</v>
      </c>
      <c r="J14" s="656"/>
      <c r="K14" s="656"/>
      <c r="L14" s="656"/>
      <c r="M14" s="656"/>
      <c r="N14" s="656"/>
      <c r="O14" s="652"/>
    </row>
    <row r="15" spans="1:15" ht="14.45" x14ac:dyDescent="0.3">
      <c r="A15" s="427">
        <v>10</v>
      </c>
      <c r="B15" s="427" t="s">
        <v>120</v>
      </c>
      <c r="C15" s="427" t="s">
        <v>121</v>
      </c>
      <c r="D15" s="185">
        <v>25</v>
      </c>
      <c r="E15" s="177" t="s">
        <v>43</v>
      </c>
      <c r="F15" s="603">
        <f>J11*K11*L11</f>
        <v>1.9308990399999997E-2</v>
      </c>
      <c r="G15" s="322"/>
      <c r="H15" s="322"/>
      <c r="I15" s="186">
        <f>IF(H15="",D15*F15,D15*F15*H15)</f>
        <v>0.48272475999999992</v>
      </c>
      <c r="J15" s="658"/>
      <c r="K15" s="658"/>
      <c r="L15" s="658"/>
      <c r="M15" s="658"/>
      <c r="N15" s="658"/>
      <c r="O15" s="671"/>
    </row>
    <row r="16" spans="1:15" ht="14.45" x14ac:dyDescent="0.3">
      <c r="A16" s="657"/>
      <c r="B16" s="656"/>
      <c r="C16" s="656"/>
      <c r="D16" s="656"/>
      <c r="E16" s="656"/>
      <c r="F16" s="656"/>
      <c r="G16" s="656"/>
      <c r="H16" s="692" t="s">
        <v>20</v>
      </c>
      <c r="I16" s="691">
        <f>SUM(I15:I15)</f>
        <v>0.48272475999999992</v>
      </c>
      <c r="J16" s="656"/>
      <c r="K16" s="656"/>
      <c r="L16" s="656"/>
      <c r="M16" s="656"/>
      <c r="N16" s="656"/>
      <c r="O16" s="652"/>
    </row>
    <row r="17" spans="1:15" thickBot="1" x14ac:dyDescent="0.35">
      <c r="A17" s="651"/>
      <c r="B17" s="650"/>
      <c r="C17" s="650"/>
      <c r="D17" s="650"/>
      <c r="E17" s="650"/>
      <c r="F17" s="650"/>
      <c r="G17" s="650"/>
      <c r="H17" s="650"/>
      <c r="I17" s="650"/>
      <c r="J17" s="650"/>
      <c r="K17" s="650"/>
      <c r="L17" s="650"/>
      <c r="M17" s="650"/>
      <c r="N17" s="650"/>
      <c r="O17" s="649"/>
    </row>
  </sheetData>
  <hyperlinks>
    <hyperlink ref="B4" location="SU_A0300" display="Upper Back A-arm"/>
    <hyperlink ref="G2" location="SU_A0300_BOM" display="Back to BOM"/>
  </hyperlinks>
  <pageMargins left="0.31496062992125984" right="0.31496062992125984" top="0.31496062992125984" bottom="0.39370078740157483" header="0.51181102362204722" footer="0.31496062992125984"/>
  <pageSetup paperSize="9" scale="60" fitToHeight="99" orientation="landscape" horizontalDpi="1200" verticalDpi="1200"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8"/>
  <sheetViews>
    <sheetView zoomScale="90" zoomScaleNormal="90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25.140625" style="647" customWidth="1"/>
    <col min="3" max="3" width="30.5703125" style="647" customWidth="1"/>
    <col min="4" max="8" width="11.42578125" style="647"/>
    <col min="9" max="9" width="14" style="647" customWidth="1"/>
    <col min="10" max="16" width="11.42578125" style="647"/>
    <col min="17" max="17" width="12.85546875" style="647" bestFit="1" customWidth="1"/>
    <col min="18" max="16384" width="11.42578125" style="647"/>
  </cols>
  <sheetData>
    <row r="1" spans="1:17" ht="14.45" x14ac:dyDescent="0.3">
      <c r="A1" s="794"/>
      <c r="B1" s="793"/>
      <c r="C1" s="793"/>
      <c r="D1" s="793"/>
      <c r="E1" s="793"/>
      <c r="F1" s="793"/>
      <c r="G1" s="793"/>
      <c r="H1" s="793"/>
      <c r="I1" s="793"/>
      <c r="J1" s="793"/>
      <c r="K1" s="793"/>
      <c r="L1" s="793"/>
      <c r="M1" s="793"/>
      <c r="N1" s="793"/>
      <c r="O1" s="792"/>
    </row>
    <row r="2" spans="1:17" ht="14.45" x14ac:dyDescent="0.3">
      <c r="A2" s="782" t="s">
        <v>0</v>
      </c>
      <c r="B2" s="752" t="s">
        <v>1</v>
      </c>
      <c r="C2" s="752"/>
      <c r="D2" s="752"/>
      <c r="E2" s="752"/>
      <c r="F2" s="752"/>
      <c r="G2" s="787" t="s">
        <v>2</v>
      </c>
      <c r="H2" s="752"/>
      <c r="I2" s="752"/>
      <c r="J2" s="791" t="s">
        <v>3</v>
      </c>
      <c r="K2" s="790">
        <v>81</v>
      </c>
      <c r="L2" s="752"/>
      <c r="M2" s="782" t="s">
        <v>18</v>
      </c>
      <c r="N2" s="785">
        <f>N12+I17</f>
        <v>0.7197472800000001</v>
      </c>
      <c r="O2" s="747"/>
    </row>
    <row r="3" spans="1:17" ht="14.45" x14ac:dyDescent="0.3">
      <c r="A3" s="782" t="s">
        <v>5</v>
      </c>
      <c r="B3" s="752" t="str">
        <f>'SU A0300'!B3</f>
        <v>Suspension &amp; Shocks</v>
      </c>
      <c r="C3" s="752"/>
      <c r="D3" s="782" t="s">
        <v>8</v>
      </c>
      <c r="E3" s="789" t="s">
        <v>84</v>
      </c>
      <c r="F3" s="752"/>
      <c r="G3" s="752"/>
      <c r="H3" s="752"/>
      <c r="I3" s="752"/>
      <c r="J3" s="752"/>
      <c r="K3" s="752"/>
      <c r="L3" s="752"/>
      <c r="M3" s="782" t="s">
        <v>6</v>
      </c>
      <c r="N3" s="788">
        <v>2</v>
      </c>
      <c r="O3" s="747"/>
    </row>
    <row r="4" spans="1:17" ht="14.45" x14ac:dyDescent="0.3">
      <c r="A4" s="782" t="s">
        <v>7</v>
      </c>
      <c r="B4" s="787" t="s">
        <v>291</v>
      </c>
      <c r="C4" s="752"/>
      <c r="D4" s="782" t="s">
        <v>10</v>
      </c>
      <c r="E4" s="752"/>
      <c r="F4" s="752"/>
      <c r="G4" s="752"/>
      <c r="H4" s="752"/>
      <c r="I4" s="752"/>
      <c r="J4" s="783" t="s">
        <v>8</v>
      </c>
      <c r="K4" s="752"/>
      <c r="L4" s="752"/>
      <c r="M4" s="752"/>
      <c r="N4" s="752"/>
      <c r="O4" s="747"/>
    </row>
    <row r="5" spans="1:17" ht="14.45" x14ac:dyDescent="0.3">
      <c r="A5" s="782" t="s">
        <v>17</v>
      </c>
      <c r="B5" s="786" t="s">
        <v>248</v>
      </c>
      <c r="C5" s="752"/>
      <c r="D5" s="782" t="s">
        <v>14</v>
      </c>
      <c r="E5" s="752"/>
      <c r="F5" s="752"/>
      <c r="G5" s="752"/>
      <c r="H5" s="752"/>
      <c r="I5" s="752"/>
      <c r="J5" s="783" t="s">
        <v>10</v>
      </c>
      <c r="K5" s="752"/>
      <c r="L5" s="752"/>
      <c r="M5" s="782" t="s">
        <v>11</v>
      </c>
      <c r="N5" s="785">
        <f>N3*N2</f>
        <v>1.4394945600000002</v>
      </c>
      <c r="O5" s="747"/>
    </row>
    <row r="6" spans="1:17" ht="14.45" x14ac:dyDescent="0.3">
      <c r="A6" s="782" t="s">
        <v>9</v>
      </c>
      <c r="B6" s="784" t="s">
        <v>301</v>
      </c>
      <c r="C6" s="752"/>
      <c r="D6" s="752"/>
      <c r="E6" s="752"/>
      <c r="F6" s="752"/>
      <c r="G6" s="752"/>
      <c r="H6" s="752"/>
      <c r="I6" s="752"/>
      <c r="J6" s="783" t="s">
        <v>14</v>
      </c>
      <c r="K6" s="752"/>
      <c r="L6" s="752"/>
      <c r="M6" s="752"/>
      <c r="N6" s="752"/>
      <c r="O6" s="747"/>
    </row>
    <row r="7" spans="1:17" ht="14.45" x14ac:dyDescent="0.3">
      <c r="A7" s="782" t="s">
        <v>12</v>
      </c>
      <c r="B7" s="752"/>
      <c r="C7" s="752"/>
      <c r="D7" s="752"/>
      <c r="E7" s="752"/>
      <c r="F7" s="752"/>
      <c r="G7" s="752"/>
      <c r="H7" s="752"/>
      <c r="I7" s="752"/>
      <c r="J7" s="752"/>
      <c r="K7" s="752"/>
      <c r="L7" s="752"/>
      <c r="M7" s="752"/>
      <c r="N7" s="752"/>
      <c r="O7" s="747"/>
    </row>
    <row r="8" spans="1:17" ht="14.45" x14ac:dyDescent="0.3">
      <c r="A8" s="782" t="s">
        <v>15</v>
      </c>
      <c r="B8" s="752"/>
      <c r="C8" s="752"/>
      <c r="D8" s="752"/>
      <c r="E8" s="752"/>
      <c r="F8" s="752"/>
      <c r="G8" s="752"/>
      <c r="H8" s="752"/>
      <c r="I8" s="752"/>
      <c r="J8" s="752"/>
      <c r="K8" s="752"/>
      <c r="L8" s="752"/>
      <c r="M8" s="752"/>
      <c r="N8" s="752"/>
      <c r="O8" s="747"/>
    </row>
    <row r="9" spans="1:17" ht="14.45" x14ac:dyDescent="0.3">
      <c r="A9" s="781"/>
      <c r="B9" s="780"/>
      <c r="C9" s="780"/>
      <c r="D9" s="780"/>
      <c r="E9" s="780"/>
      <c r="F9" s="752"/>
      <c r="G9" s="752"/>
      <c r="H9" s="752"/>
      <c r="I9" s="752"/>
      <c r="J9" s="752"/>
      <c r="K9" s="752"/>
      <c r="L9" s="752"/>
      <c r="M9" s="752"/>
      <c r="N9" s="752"/>
      <c r="O9" s="747"/>
    </row>
    <row r="10" spans="1:17" ht="14.45" x14ac:dyDescent="0.3">
      <c r="A10" s="779" t="s">
        <v>16</v>
      </c>
      <c r="B10" s="778" t="s">
        <v>38</v>
      </c>
      <c r="C10" s="778" t="s">
        <v>22</v>
      </c>
      <c r="D10" s="778" t="s">
        <v>23</v>
      </c>
      <c r="E10" s="778" t="s">
        <v>31</v>
      </c>
      <c r="F10" s="763" t="s">
        <v>32</v>
      </c>
      <c r="G10" s="763" t="s">
        <v>33</v>
      </c>
      <c r="H10" s="763" t="s">
        <v>34</v>
      </c>
      <c r="I10" s="763" t="s">
        <v>39</v>
      </c>
      <c r="J10" s="763" t="s">
        <v>40</v>
      </c>
      <c r="K10" s="763" t="s">
        <v>41</v>
      </c>
      <c r="L10" s="763" t="s">
        <v>42</v>
      </c>
      <c r="M10" s="763" t="s">
        <v>19</v>
      </c>
      <c r="N10" s="763" t="s">
        <v>20</v>
      </c>
      <c r="O10" s="747"/>
    </row>
    <row r="11" spans="1:17" ht="14.45" x14ac:dyDescent="0.3">
      <c r="A11" s="777">
        <v>10</v>
      </c>
      <c r="B11" s="776" t="s">
        <v>246</v>
      </c>
      <c r="C11" s="774" t="s">
        <v>99</v>
      </c>
      <c r="D11" s="753">
        <v>2.25</v>
      </c>
      <c r="E11" s="775">
        <f>J11*K11*L11/1000000000</f>
        <v>7.8876800000000011E-3</v>
      </c>
      <c r="F11" s="774" t="s">
        <v>153</v>
      </c>
      <c r="G11" s="774"/>
      <c r="H11" s="773"/>
      <c r="I11" s="772" t="s">
        <v>154</v>
      </c>
      <c r="J11" s="771">
        <f>3.14*8*8</f>
        <v>200.96</v>
      </c>
      <c r="K11" s="770">
        <v>5</v>
      </c>
      <c r="L11" s="769">
        <v>7850</v>
      </c>
      <c r="M11" s="768">
        <v>1</v>
      </c>
      <c r="N11" s="753">
        <f>D11*E11</f>
        <v>1.7747280000000004E-2</v>
      </c>
      <c r="O11" s="767"/>
      <c r="Q11" s="704"/>
    </row>
    <row r="12" spans="1:17" ht="14.45" x14ac:dyDescent="0.3">
      <c r="A12" s="751"/>
      <c r="B12" s="748"/>
      <c r="C12" s="748"/>
      <c r="D12" s="748"/>
      <c r="E12" s="748"/>
      <c r="F12" s="748"/>
      <c r="G12" s="748"/>
      <c r="H12" s="748"/>
      <c r="I12" s="748"/>
      <c r="J12" s="748"/>
      <c r="K12" s="748"/>
      <c r="L12" s="748"/>
      <c r="M12" s="766" t="s">
        <v>20</v>
      </c>
      <c r="N12" s="749">
        <f>SUM(N11:N11)</f>
        <v>1.7747280000000004E-2</v>
      </c>
      <c r="O12" s="747"/>
    </row>
    <row r="13" spans="1:17" ht="14.45" x14ac:dyDescent="0.3">
      <c r="A13" s="765"/>
      <c r="B13" s="752"/>
      <c r="C13" s="752"/>
      <c r="D13" s="752"/>
      <c r="E13" s="752"/>
      <c r="F13" s="752"/>
      <c r="G13" s="752"/>
      <c r="H13" s="752"/>
      <c r="I13" s="752"/>
      <c r="J13" s="752"/>
      <c r="K13" s="752"/>
      <c r="L13" s="752"/>
      <c r="M13" s="752"/>
      <c r="N13" s="752"/>
      <c r="O13" s="747"/>
    </row>
    <row r="14" spans="1:17" ht="14.45" x14ac:dyDescent="0.3">
      <c r="A14" s="764" t="s">
        <v>16</v>
      </c>
      <c r="B14" s="763" t="s">
        <v>21</v>
      </c>
      <c r="C14" s="763" t="s">
        <v>22</v>
      </c>
      <c r="D14" s="763" t="s">
        <v>23</v>
      </c>
      <c r="E14" s="763" t="s">
        <v>24</v>
      </c>
      <c r="F14" s="763" t="s">
        <v>19</v>
      </c>
      <c r="G14" s="763" t="s">
        <v>25</v>
      </c>
      <c r="H14" s="763" t="s">
        <v>26</v>
      </c>
      <c r="I14" s="763" t="s">
        <v>20</v>
      </c>
      <c r="J14" s="748"/>
      <c r="K14" s="748"/>
      <c r="L14" s="748"/>
      <c r="M14" s="748"/>
      <c r="N14" s="748"/>
      <c r="O14" s="747"/>
    </row>
    <row r="15" spans="1:17" ht="28.9" x14ac:dyDescent="0.3">
      <c r="A15" s="762">
        <v>10</v>
      </c>
      <c r="B15" s="755" t="s">
        <v>81</v>
      </c>
      <c r="C15" s="761" t="s">
        <v>103</v>
      </c>
      <c r="D15" s="760">
        <v>1.3</v>
      </c>
      <c r="E15" s="755" t="s">
        <v>72</v>
      </c>
      <c r="F15" s="761">
        <v>1</v>
      </c>
      <c r="G15" s="761" t="s">
        <v>300</v>
      </c>
      <c r="H15" s="761">
        <f>1/2</f>
        <v>0.5</v>
      </c>
      <c r="I15" s="760">
        <f>IF(H15="",D15*F15,D15*F15*H15)</f>
        <v>0.65</v>
      </c>
      <c r="J15" s="759"/>
      <c r="K15" s="759"/>
      <c r="L15" s="759"/>
      <c r="M15" s="759"/>
      <c r="N15" s="759"/>
      <c r="O15" s="758"/>
    </row>
    <row r="16" spans="1:17" ht="14.45" x14ac:dyDescent="0.3">
      <c r="A16" s="757">
        <v>60</v>
      </c>
      <c r="B16" s="756" t="s">
        <v>80</v>
      </c>
      <c r="C16" s="429" t="s">
        <v>126</v>
      </c>
      <c r="D16" s="753">
        <v>0.04</v>
      </c>
      <c r="E16" s="755" t="s">
        <v>79</v>
      </c>
      <c r="F16" s="754">
        <v>1.3</v>
      </c>
      <c r="G16" s="754"/>
      <c r="H16" s="754"/>
      <c r="I16" s="753">
        <f>IF(H16="",D16*F16,D16*F16*H16)</f>
        <v>5.2000000000000005E-2</v>
      </c>
      <c r="J16" s="752"/>
      <c r="K16" s="752"/>
      <c r="L16" s="752"/>
      <c r="M16" s="752"/>
      <c r="N16" s="752"/>
      <c r="O16" s="747"/>
    </row>
    <row r="17" spans="1:15" ht="14.45" x14ac:dyDescent="0.3">
      <c r="A17" s="751"/>
      <c r="B17" s="748"/>
      <c r="C17" s="748"/>
      <c r="D17" s="748"/>
      <c r="E17" s="748"/>
      <c r="F17" s="748"/>
      <c r="G17" s="748"/>
      <c r="H17" s="750" t="s">
        <v>20</v>
      </c>
      <c r="I17" s="749">
        <f>SUM(I15:I16)</f>
        <v>0.70200000000000007</v>
      </c>
      <c r="J17" s="748"/>
      <c r="K17" s="748"/>
      <c r="L17" s="748"/>
      <c r="M17" s="748"/>
      <c r="N17" s="748"/>
      <c r="O17" s="747"/>
    </row>
    <row r="18" spans="1:15" thickBot="1" x14ac:dyDescent="0.35">
      <c r="A18" s="746"/>
      <c r="B18" s="745"/>
      <c r="C18" s="745"/>
      <c r="D18" s="745"/>
      <c r="E18" s="745"/>
      <c r="F18" s="745"/>
      <c r="G18" s="745"/>
      <c r="H18" s="745"/>
      <c r="I18" s="745"/>
      <c r="J18" s="745"/>
      <c r="K18" s="745"/>
      <c r="L18" s="745"/>
      <c r="M18" s="745"/>
      <c r="N18" s="745"/>
      <c r="O18" s="744"/>
    </row>
  </sheetData>
  <hyperlinks>
    <hyperlink ref="B4" location="SU_A0300" display="Upper Back A-arm"/>
    <hyperlink ref="E3" location="dSU_03005" display="Drawing"/>
    <hyperlink ref="G2" location="SU_A0300_BOM" display="Back to BOM"/>
  </hyperlinks>
  <pageMargins left="0.31496062992125984" right="0.31496062992125984" top="0.31496062992125984" bottom="0.39370078740157483" header="0.51181102362204722" footer="0.31496062992125984"/>
  <pageSetup paperSize="9" scale="69" fitToHeight="99" orientation="landscape" horizontalDpi="1200" verticalDpi="1200"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4.28515625" style="647" customWidth="1"/>
    <col min="2" max="16384" width="11.42578125" style="647"/>
  </cols>
  <sheetData>
    <row r="1" spans="1:2" x14ac:dyDescent="0.3">
      <c r="A1" s="647" t="s">
        <v>89</v>
      </c>
      <c r="B1" s="795" t="str">
        <f>'SU 03005'!B6</f>
        <v>SU 03005</v>
      </c>
    </row>
  </sheetData>
  <hyperlinks>
    <hyperlink ref="B1" location="SU_03005" display="SU_03005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9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3" width="19.28515625" style="103" customWidth="1"/>
    <col min="4" max="16384" width="11.5703125" style="103"/>
  </cols>
  <sheetData>
    <row r="1" spans="1:16" ht="14.45" x14ac:dyDescent="0.3">
      <c r="A1" s="794"/>
      <c r="B1" s="793"/>
      <c r="C1" s="793"/>
      <c r="D1" s="793"/>
      <c r="E1" s="793"/>
      <c r="F1" s="793"/>
      <c r="G1" s="793"/>
      <c r="H1" s="793"/>
      <c r="I1" s="793"/>
      <c r="J1" s="793"/>
      <c r="K1" s="793"/>
      <c r="L1" s="793"/>
      <c r="M1" s="793"/>
      <c r="N1" s="793"/>
      <c r="O1" s="792"/>
      <c r="P1" s="647"/>
    </row>
    <row r="2" spans="1:16" ht="14.45" x14ac:dyDescent="0.3">
      <c r="A2" s="782" t="s">
        <v>0</v>
      </c>
      <c r="B2" s="752" t="s">
        <v>1</v>
      </c>
      <c r="C2" s="752"/>
      <c r="D2" s="752"/>
      <c r="E2" s="752"/>
      <c r="F2" s="752"/>
      <c r="G2" s="787" t="s">
        <v>2</v>
      </c>
      <c r="H2" s="752"/>
      <c r="I2" s="752"/>
      <c r="J2" s="791" t="s">
        <v>3</v>
      </c>
      <c r="K2" s="790">
        <v>81</v>
      </c>
      <c r="L2" s="752"/>
      <c r="M2" s="782" t="s">
        <v>18</v>
      </c>
      <c r="N2" s="785">
        <f>N12+I17</f>
        <v>0.32421353411764708</v>
      </c>
      <c r="O2" s="747"/>
      <c r="P2" s="647"/>
    </row>
    <row r="3" spans="1:16" ht="14.45" x14ac:dyDescent="0.3">
      <c r="A3" s="782" t="s">
        <v>5</v>
      </c>
      <c r="B3" s="752" t="str">
        <f>'SU A0300'!B3</f>
        <v>Suspension &amp; Shocks</v>
      </c>
      <c r="C3" s="752"/>
      <c r="D3" s="782" t="s">
        <v>8</v>
      </c>
      <c r="E3" s="789" t="s">
        <v>84</v>
      </c>
      <c r="F3" s="752"/>
      <c r="G3" s="752"/>
      <c r="H3" s="752"/>
      <c r="I3" s="752"/>
      <c r="J3" s="752"/>
      <c r="K3" s="752"/>
      <c r="L3" s="752"/>
      <c r="M3" s="782" t="s">
        <v>6</v>
      </c>
      <c r="N3" s="788">
        <v>4</v>
      </c>
      <c r="O3" s="747"/>
      <c r="P3" s="647"/>
    </row>
    <row r="4" spans="1:16" ht="14.45" x14ac:dyDescent="0.3">
      <c r="A4" s="782" t="s">
        <v>7</v>
      </c>
      <c r="B4" s="787" t="s">
        <v>291</v>
      </c>
      <c r="C4" s="752"/>
      <c r="D4" s="782" t="s">
        <v>10</v>
      </c>
      <c r="E4" s="752"/>
      <c r="F4" s="752"/>
      <c r="G4" s="752"/>
      <c r="H4" s="752"/>
      <c r="I4" s="752"/>
      <c r="J4" s="783" t="s">
        <v>8</v>
      </c>
      <c r="K4" s="752"/>
      <c r="L4" s="752"/>
      <c r="M4" s="752"/>
      <c r="N4" s="752"/>
      <c r="O4" s="747"/>
      <c r="P4" s="647"/>
    </row>
    <row r="5" spans="1:16" ht="14.45" x14ac:dyDescent="0.3">
      <c r="A5" s="782" t="s">
        <v>17</v>
      </c>
      <c r="B5" s="786" t="s">
        <v>218</v>
      </c>
      <c r="C5" s="752"/>
      <c r="D5" s="782" t="s">
        <v>14</v>
      </c>
      <c r="E5" s="752"/>
      <c r="F5" s="752"/>
      <c r="G5" s="752"/>
      <c r="H5" s="752"/>
      <c r="I5" s="752"/>
      <c r="J5" s="783" t="s">
        <v>10</v>
      </c>
      <c r="K5" s="752"/>
      <c r="L5" s="752"/>
      <c r="M5" s="782" t="s">
        <v>11</v>
      </c>
      <c r="N5" s="785">
        <f>N3*N2</f>
        <v>1.2968541364705883</v>
      </c>
      <c r="O5" s="747"/>
      <c r="P5" s="647"/>
    </row>
    <row r="6" spans="1:16" ht="14.45" x14ac:dyDescent="0.3">
      <c r="A6" s="782" t="s">
        <v>9</v>
      </c>
      <c r="B6" s="784" t="s">
        <v>302</v>
      </c>
      <c r="C6" s="752"/>
      <c r="D6" s="752"/>
      <c r="E6" s="752"/>
      <c r="F6" s="752"/>
      <c r="G6" s="752"/>
      <c r="H6" s="752"/>
      <c r="I6" s="752"/>
      <c r="J6" s="783" t="s">
        <v>14</v>
      </c>
      <c r="K6" s="752"/>
      <c r="L6" s="752"/>
      <c r="M6" s="752"/>
      <c r="N6" s="752"/>
      <c r="O6" s="747"/>
      <c r="P6" s="647"/>
    </row>
    <row r="7" spans="1:16" ht="14.45" x14ac:dyDescent="0.3">
      <c r="A7" s="782" t="s">
        <v>12</v>
      </c>
      <c r="B7" s="752"/>
      <c r="C7" s="752"/>
      <c r="D7" s="752"/>
      <c r="E7" s="752"/>
      <c r="F7" s="752"/>
      <c r="G7" s="752"/>
      <c r="H7" s="752"/>
      <c r="I7" s="752"/>
      <c r="J7" s="752"/>
      <c r="K7" s="752"/>
      <c r="L7" s="752"/>
      <c r="M7" s="752"/>
      <c r="N7" s="752"/>
      <c r="O7" s="747"/>
      <c r="P7" s="647"/>
    </row>
    <row r="8" spans="1:16" ht="14.45" x14ac:dyDescent="0.3">
      <c r="A8" s="782" t="s">
        <v>15</v>
      </c>
      <c r="B8" s="752"/>
      <c r="C8" s="752"/>
      <c r="D8" s="752"/>
      <c r="E8" s="752"/>
      <c r="F8" s="752"/>
      <c r="G8" s="752"/>
      <c r="H8" s="752"/>
      <c r="I8" s="752"/>
      <c r="J8" s="752"/>
      <c r="K8" s="752"/>
      <c r="L8" s="752"/>
      <c r="M8" s="752"/>
      <c r="N8" s="752"/>
      <c r="O8" s="747"/>
      <c r="P8" s="647"/>
    </row>
    <row r="9" spans="1:16" ht="14.45" x14ac:dyDescent="0.3">
      <c r="A9" s="781"/>
      <c r="B9" s="780"/>
      <c r="C9" s="780"/>
      <c r="D9" s="780"/>
      <c r="E9" s="780"/>
      <c r="F9" s="752"/>
      <c r="G9" s="752"/>
      <c r="H9" s="752"/>
      <c r="I9" s="752"/>
      <c r="J9" s="752"/>
      <c r="K9" s="752"/>
      <c r="L9" s="752"/>
      <c r="M9" s="752"/>
      <c r="N9" s="752"/>
      <c r="O9" s="747"/>
      <c r="P9" s="647"/>
    </row>
    <row r="10" spans="1:16" ht="14.45" x14ac:dyDescent="0.3">
      <c r="A10" s="779" t="s">
        <v>16</v>
      </c>
      <c r="B10" s="778" t="s">
        <v>38</v>
      </c>
      <c r="C10" s="778" t="s">
        <v>22</v>
      </c>
      <c r="D10" s="778" t="s">
        <v>23</v>
      </c>
      <c r="E10" s="778" t="s">
        <v>31</v>
      </c>
      <c r="F10" s="763" t="s">
        <v>32</v>
      </c>
      <c r="G10" s="763" t="s">
        <v>33</v>
      </c>
      <c r="H10" s="763" t="s">
        <v>34</v>
      </c>
      <c r="I10" s="763" t="s">
        <v>39</v>
      </c>
      <c r="J10" s="763" t="s">
        <v>40</v>
      </c>
      <c r="K10" s="763" t="s">
        <v>41</v>
      </c>
      <c r="L10" s="763" t="s">
        <v>42</v>
      </c>
      <c r="M10" s="763" t="s">
        <v>19</v>
      </c>
      <c r="N10" s="763" t="s">
        <v>20</v>
      </c>
      <c r="O10" s="747"/>
      <c r="P10" s="647"/>
    </row>
    <row r="11" spans="1:16" ht="14.45" x14ac:dyDescent="0.3">
      <c r="A11" s="196">
        <v>10</v>
      </c>
      <c r="B11" s="215" t="s">
        <v>112</v>
      </c>
      <c r="C11" s="221"/>
      <c r="D11" s="178">
        <v>2.25</v>
      </c>
      <c r="E11" s="410">
        <f>J11*K11*L11</f>
        <v>6.3101440000000009E-2</v>
      </c>
      <c r="F11" s="411" t="s">
        <v>153</v>
      </c>
      <c r="G11" s="411"/>
      <c r="H11" s="222"/>
      <c r="I11" s="410" t="s">
        <v>154</v>
      </c>
      <c r="J11" s="223">
        <f>3.14*8*8/1000000</f>
        <v>2.0096E-4</v>
      </c>
      <c r="K11" s="224">
        <v>0.04</v>
      </c>
      <c r="L11" s="408">
        <v>7850</v>
      </c>
      <c r="M11" s="225">
        <v>1</v>
      </c>
      <c r="N11" s="226">
        <f>D11*E11*M11</f>
        <v>0.14197824000000003</v>
      </c>
      <c r="O11" s="407"/>
    </row>
    <row r="12" spans="1:16" ht="14.45" x14ac:dyDescent="0.3">
      <c r="A12" s="751"/>
      <c r="B12" s="748"/>
      <c r="C12" s="748"/>
      <c r="D12" s="748"/>
      <c r="E12" s="748"/>
      <c r="F12" s="748"/>
      <c r="G12" s="748"/>
      <c r="H12" s="748"/>
      <c r="I12" s="748"/>
      <c r="J12" s="748"/>
      <c r="K12" s="748"/>
      <c r="L12" s="748"/>
      <c r="M12" s="766" t="s">
        <v>20</v>
      </c>
      <c r="N12" s="749">
        <f>SUM(N11:N11)</f>
        <v>0.14197824000000003</v>
      </c>
      <c r="O12" s="747"/>
      <c r="P12" s="647"/>
    </row>
    <row r="13" spans="1:16" ht="14.45" x14ac:dyDescent="0.3">
      <c r="A13" s="765"/>
      <c r="B13" s="752"/>
      <c r="C13" s="752"/>
      <c r="D13" s="752"/>
      <c r="E13" s="752"/>
      <c r="F13" s="752"/>
      <c r="G13" s="752"/>
      <c r="H13" s="752"/>
      <c r="I13" s="752"/>
      <c r="J13" s="752"/>
      <c r="K13" s="752"/>
      <c r="L13" s="752"/>
      <c r="M13" s="752"/>
      <c r="N13" s="752"/>
      <c r="O13" s="747"/>
      <c r="P13" s="647"/>
    </row>
    <row r="14" spans="1:16" ht="14.45" x14ac:dyDescent="0.3">
      <c r="A14" s="764" t="s">
        <v>16</v>
      </c>
      <c r="B14" s="763" t="s">
        <v>21</v>
      </c>
      <c r="C14" s="763" t="s">
        <v>22</v>
      </c>
      <c r="D14" s="763" t="s">
        <v>23</v>
      </c>
      <c r="E14" s="763" t="s">
        <v>24</v>
      </c>
      <c r="F14" s="763" t="s">
        <v>19</v>
      </c>
      <c r="G14" s="763" t="s">
        <v>25</v>
      </c>
      <c r="H14" s="763" t="s">
        <v>26</v>
      </c>
      <c r="I14" s="763" t="s">
        <v>20</v>
      </c>
      <c r="J14" s="748"/>
      <c r="K14" s="748"/>
      <c r="L14" s="748"/>
      <c r="M14" s="748"/>
      <c r="N14" s="748"/>
      <c r="O14" s="747"/>
      <c r="P14" s="647"/>
    </row>
    <row r="15" spans="1:16" ht="46.15" customHeight="1" x14ac:dyDescent="0.25">
      <c r="A15" s="227">
        <v>10</v>
      </c>
      <c r="B15" s="227" t="s">
        <v>81</v>
      </c>
      <c r="C15" s="227" t="s">
        <v>103</v>
      </c>
      <c r="D15" s="402">
        <v>1.3</v>
      </c>
      <c r="E15" s="227" t="s">
        <v>24</v>
      </c>
      <c r="F15" s="323">
        <v>1</v>
      </c>
      <c r="G15" s="431" t="s">
        <v>249</v>
      </c>
      <c r="H15" s="434">
        <v>2.9411764705882353E-2</v>
      </c>
      <c r="I15" s="230">
        <f>IF(H15="",D15*F15,D15*F15*H15)</f>
        <v>3.8235294117647062E-2</v>
      </c>
      <c r="J15" s="400"/>
      <c r="K15" s="400"/>
      <c r="L15" s="400"/>
      <c r="M15" s="400"/>
      <c r="N15" s="400"/>
      <c r="O15" s="95"/>
    </row>
    <row r="16" spans="1:16" ht="14.45" x14ac:dyDescent="0.3">
      <c r="A16" s="429">
        <v>20</v>
      </c>
      <c r="B16" s="429" t="s">
        <v>80</v>
      </c>
      <c r="C16" s="429" t="s">
        <v>126</v>
      </c>
      <c r="D16" s="430">
        <v>0.04</v>
      </c>
      <c r="E16" s="429" t="s">
        <v>79</v>
      </c>
      <c r="F16" s="429">
        <v>1.2</v>
      </c>
      <c r="G16" s="429" t="s">
        <v>95</v>
      </c>
      <c r="H16" s="429">
        <v>3</v>
      </c>
      <c r="I16" s="230">
        <f>IF(H16="",D16*F16,D16*F16*H16)</f>
        <v>0.14400000000000002</v>
      </c>
      <c r="J16" s="80"/>
      <c r="K16" s="80"/>
      <c r="L16" s="80"/>
      <c r="M16" s="80"/>
      <c r="N16" s="80"/>
      <c r="O16" s="84"/>
    </row>
    <row r="17" spans="1:16" ht="14.45" x14ac:dyDescent="0.3">
      <c r="A17" s="751"/>
      <c r="B17" s="748"/>
      <c r="C17" s="748"/>
      <c r="D17" s="748"/>
      <c r="E17" s="748"/>
      <c r="F17" s="748"/>
      <c r="G17" s="748"/>
      <c r="H17" s="750" t="s">
        <v>20</v>
      </c>
      <c r="I17" s="749">
        <f>SUM(I15:I16)</f>
        <v>0.18223529411764708</v>
      </c>
      <c r="J17" s="748"/>
      <c r="K17" s="748"/>
      <c r="L17" s="748"/>
      <c r="M17" s="748"/>
      <c r="N17" s="748"/>
      <c r="O17" s="747"/>
      <c r="P17" s="647"/>
    </row>
    <row r="18" spans="1:16" thickBot="1" x14ac:dyDescent="0.35">
      <c r="A18" s="746"/>
      <c r="B18" s="745"/>
      <c r="C18" s="745"/>
      <c r="D18" s="745"/>
      <c r="E18" s="745"/>
      <c r="F18" s="745"/>
      <c r="G18" s="745"/>
      <c r="H18" s="745"/>
      <c r="I18" s="745"/>
      <c r="J18" s="745"/>
      <c r="K18" s="745"/>
      <c r="L18" s="745"/>
      <c r="M18" s="745"/>
      <c r="N18" s="745"/>
      <c r="O18" s="744"/>
      <c r="P18" s="647"/>
    </row>
    <row r="19" spans="1:16" ht="14.45" x14ac:dyDescent="0.3">
      <c r="A19" s="647"/>
      <c r="B19" s="647"/>
      <c r="C19" s="647"/>
      <c r="D19" s="647"/>
      <c r="E19" s="647"/>
      <c r="F19" s="647"/>
      <c r="G19" s="647"/>
      <c r="H19" s="647"/>
      <c r="I19" s="647"/>
      <c r="J19" s="647"/>
      <c r="K19" s="647"/>
      <c r="L19" s="647"/>
      <c r="M19" s="647"/>
      <c r="N19" s="647"/>
      <c r="O19" s="647"/>
      <c r="P19" s="647"/>
    </row>
  </sheetData>
  <hyperlinks>
    <hyperlink ref="G2" location="SU_A0300_BOM" display="Back to BOM"/>
    <hyperlink ref="E3" location="dSU_03006" display="Drawing"/>
    <hyperlink ref="B4" location="SU_A0300" display="Upper Back A-arm"/>
  </hyperlinks>
  <pageMargins left="0.31496062992125984" right="0.31496062992125984" top="0.31496062992125984" bottom="0.39370078740157483" header="0.51181102362204722" footer="0.31496062992125984"/>
  <pageSetup paperSize="9" scale="75" fitToHeight="99" orientation="landscape" horizontalDpi="1200" verticalDpi="1200"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3.42578125" style="103" customWidth="1"/>
    <col min="2" max="16384" width="11.5703125" style="103"/>
  </cols>
  <sheetData>
    <row r="1" spans="1:2" x14ac:dyDescent="0.3">
      <c r="A1" s="647" t="s">
        <v>89</v>
      </c>
      <c r="B1" s="795" t="s">
        <v>303</v>
      </c>
    </row>
  </sheetData>
  <hyperlinks>
    <hyperlink ref="B1" location="SU_03006" display="=SU_03006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90" zoomScaleNormal="90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28.7109375" style="647" customWidth="1"/>
    <col min="3" max="3" width="24.28515625" style="647" customWidth="1"/>
    <col min="4" max="8" width="11.42578125" style="647"/>
    <col min="9" max="9" width="15.28515625" style="647" customWidth="1"/>
    <col min="10" max="16" width="11.42578125" style="647"/>
    <col min="17" max="17" width="12.85546875" style="647" bestFit="1" customWidth="1"/>
    <col min="18" max="16384" width="11.42578125" style="647"/>
  </cols>
  <sheetData>
    <row r="1" spans="1:17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7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N12+I16</f>
        <v>0.47719727680000001</v>
      </c>
      <c r="O2" s="652"/>
    </row>
    <row r="3" spans="1:17" ht="14.45" x14ac:dyDescent="0.3">
      <c r="A3" s="719" t="s">
        <v>5</v>
      </c>
      <c r="B3" s="684" t="str">
        <f>'SU A0300'!B3</f>
        <v>Suspension &amp; Shocks</v>
      </c>
      <c r="C3" s="648"/>
      <c r="D3" s="719" t="s">
        <v>8</v>
      </c>
      <c r="E3" s="60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2</v>
      </c>
      <c r="O3" s="652"/>
    </row>
    <row r="4" spans="1:17" ht="14.45" x14ac:dyDescent="0.3">
      <c r="A4" s="719" t="s">
        <v>7</v>
      </c>
      <c r="B4" s="58" t="s">
        <v>291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7" ht="14.45" x14ac:dyDescent="0.3">
      <c r="A5" s="719" t="s">
        <v>17</v>
      </c>
      <c r="B5" s="673" t="s">
        <v>254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0.95439455360000003</v>
      </c>
      <c r="O5" s="652"/>
    </row>
    <row r="6" spans="1:17" ht="14.45" x14ac:dyDescent="0.3">
      <c r="A6" s="719" t="s">
        <v>9</v>
      </c>
      <c r="B6" s="721" t="s">
        <v>304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7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7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7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7" s="103" customFormat="1" ht="14.45" x14ac:dyDescent="0.3">
      <c r="A10" s="417" t="s">
        <v>16</v>
      </c>
      <c r="B10" s="416" t="s">
        <v>38</v>
      </c>
      <c r="C10" s="416" t="s">
        <v>22</v>
      </c>
      <c r="D10" s="416" t="s">
        <v>23</v>
      </c>
      <c r="E10" s="416" t="s">
        <v>31</v>
      </c>
      <c r="F10" s="404" t="s">
        <v>32</v>
      </c>
      <c r="G10" s="404" t="s">
        <v>33</v>
      </c>
      <c r="H10" s="404" t="s">
        <v>34</v>
      </c>
      <c r="I10" s="404" t="s">
        <v>39</v>
      </c>
      <c r="J10" s="404" t="s">
        <v>40</v>
      </c>
      <c r="K10" s="404" t="s">
        <v>41</v>
      </c>
      <c r="L10" s="404" t="s">
        <v>42</v>
      </c>
      <c r="M10" s="404" t="s">
        <v>19</v>
      </c>
      <c r="N10" s="404" t="s">
        <v>20</v>
      </c>
      <c r="O10" s="84"/>
    </row>
    <row r="11" spans="1:17" s="298" customFormat="1" ht="30.6" customHeight="1" x14ac:dyDescent="0.3">
      <c r="A11" s="383">
        <v>10</v>
      </c>
      <c r="B11" s="446" t="s">
        <v>146</v>
      </c>
      <c r="C11" s="383" t="s">
        <v>147</v>
      </c>
      <c r="D11" s="205">
        <v>4.2</v>
      </c>
      <c r="E11" s="445">
        <v>12</v>
      </c>
      <c r="F11" s="383" t="s">
        <v>35</v>
      </c>
      <c r="G11" s="383"/>
      <c r="H11" s="206"/>
      <c r="I11" s="444" t="s">
        <v>252</v>
      </c>
      <c r="J11" s="443">
        <f>3.14*0.006^2</f>
        <v>1.1304E-4</v>
      </c>
      <c r="K11" s="442">
        <v>0.06</v>
      </c>
      <c r="L11" s="441">
        <v>2710</v>
      </c>
      <c r="M11" s="440">
        <v>1</v>
      </c>
      <c r="N11" s="230">
        <f>IF(J11="",D11*M11,D11*J11*K11*L11*M11)</f>
        <v>7.7197276800000006E-2</v>
      </c>
      <c r="O11" s="439"/>
    </row>
    <row r="12" spans="1:17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43" t="s">
        <v>20</v>
      </c>
      <c r="N12" s="691">
        <f>SUM(N11:N11)</f>
        <v>7.7197276800000006E-2</v>
      </c>
      <c r="O12" s="652"/>
    </row>
    <row r="13" spans="1:17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  <c r="Q13" s="704"/>
    </row>
    <row r="14" spans="1:17" s="103" customFormat="1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7" s="103" customFormat="1" ht="14.45" x14ac:dyDescent="0.3">
      <c r="A15" s="436">
        <v>10</v>
      </c>
      <c r="B15" s="227" t="s">
        <v>251</v>
      </c>
      <c r="C15" s="438"/>
      <c r="D15" s="437">
        <v>0.4</v>
      </c>
      <c r="E15" s="436" t="s">
        <v>76</v>
      </c>
      <c r="F15" s="436">
        <v>1</v>
      </c>
      <c r="G15" s="436"/>
      <c r="H15" s="436"/>
      <c r="I15" s="435">
        <f>IF(H15="",D15*F15,D15*F15*H15)</f>
        <v>0.4</v>
      </c>
      <c r="J15" s="400"/>
      <c r="K15" s="400"/>
      <c r="L15" s="400"/>
      <c r="M15" s="400"/>
      <c r="N15" s="400"/>
      <c r="O15" s="95"/>
    </row>
    <row r="16" spans="1:17" ht="14.45" x14ac:dyDescent="0.3">
      <c r="A16" s="657"/>
      <c r="B16" s="656"/>
      <c r="C16" s="656"/>
      <c r="D16" s="656"/>
      <c r="E16" s="656"/>
      <c r="F16" s="656"/>
      <c r="G16" s="656"/>
      <c r="H16" s="692" t="s">
        <v>20</v>
      </c>
      <c r="I16" s="691">
        <f>SUM(I15:I15)</f>
        <v>0.4</v>
      </c>
      <c r="J16" s="656"/>
      <c r="K16" s="656"/>
      <c r="L16" s="656"/>
      <c r="M16" s="656"/>
      <c r="N16" s="656"/>
      <c r="O16" s="652"/>
    </row>
    <row r="17" spans="1:15" thickBot="1" x14ac:dyDescent="0.35">
      <c r="A17" s="651"/>
      <c r="B17" s="650"/>
      <c r="C17" s="650"/>
      <c r="D17" s="650"/>
      <c r="E17" s="650"/>
      <c r="F17" s="650"/>
      <c r="G17" s="650"/>
      <c r="H17" s="650"/>
      <c r="I17" s="650"/>
      <c r="J17" s="650"/>
      <c r="K17" s="650"/>
      <c r="L17" s="650"/>
      <c r="M17" s="650"/>
      <c r="N17" s="650"/>
      <c r="O17" s="649"/>
    </row>
  </sheetData>
  <hyperlinks>
    <hyperlink ref="E3" location="dSU_03007" display="Drawing"/>
    <hyperlink ref="G2" location="SU_A0300_BOM" display="Back to BOM"/>
    <hyperlink ref="B4" location="SU_A0300" display="Upper Back A-arm"/>
  </hyperlinks>
  <pageMargins left="0.31496062992125984" right="0.31496062992125984" top="0.31496062992125984" bottom="0.39370078740157483" header="0.51181102362204722" footer="0.31496062992125984"/>
  <pageSetup paperSize="9" scale="69" fitToHeight="99" orientation="landscape" horizontalDpi="1200" verticalDpi="1200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20" style="647" customWidth="1"/>
    <col min="2" max="16384" width="11.42578125" style="647"/>
  </cols>
  <sheetData>
    <row r="1" spans="1:2" x14ac:dyDescent="0.3">
      <c r="A1" s="647" t="s">
        <v>89</v>
      </c>
      <c r="B1" s="795" t="str">
        <f>'SU 03007'!B6</f>
        <v>SU 03007</v>
      </c>
    </row>
  </sheetData>
  <hyperlinks>
    <hyperlink ref="B1" location="SU_03007" display="SU_03007"/>
  </hyperlinks>
  <pageMargins left="0.31496062992125984" right="0.31496062992125984" top="0.31496062992125984" bottom="0.39370078740157483" header="0.51181102362204722" footer="0.31496062992125984"/>
  <pageSetup paperSize="9" scale="90" fitToHeight="99" orientation="landscape" horizontalDpi="1200" verticalDpi="1200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9.5703125" style="103" customWidth="1"/>
    <col min="3" max="3" width="20" style="103" customWidth="1"/>
    <col min="4" max="5" width="11.5703125" style="103"/>
    <col min="6" max="6" width="10.7109375" style="103" customWidth="1"/>
    <col min="7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10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1.4969516249999999</v>
      </c>
      <c r="O2" s="451"/>
    </row>
    <row r="3" spans="1:15" ht="14.45" x14ac:dyDescent="0.3">
      <c r="A3" s="500" t="s">
        <v>5</v>
      </c>
      <c r="B3" s="104" t="str">
        <f>'SU A0200'!B3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58" t="s">
        <v>291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257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1.4969516249999999</v>
      </c>
      <c r="O5" s="451"/>
    </row>
    <row r="6" spans="1:15" ht="14.45" x14ac:dyDescent="0.3">
      <c r="A6" s="500" t="s">
        <v>9</v>
      </c>
      <c r="B6" s="503" t="s">
        <v>306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43.15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7.1670500000000012E-2</v>
      </c>
      <c r="F11" s="491" t="s">
        <v>43</v>
      </c>
      <c r="G11" s="491"/>
      <c r="H11" s="488"/>
      <c r="I11" s="490" t="s">
        <v>305</v>
      </c>
      <c r="J11" s="489">
        <f>0.083*0.022</f>
        <v>1.8259999999999999E-3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0.16125862500000002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3.6519999999999999E-3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3.6519999999999997E-2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0.19777862500000001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30" customHeight="1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474">
        <v>18.5</v>
      </c>
      <c r="G17" s="460"/>
      <c r="H17" s="459"/>
      <c r="I17" s="473">
        <f>IF(H17="",D17*F17,D17*F17*H17)</f>
        <v>0.185</v>
      </c>
      <c r="J17" s="470"/>
      <c r="K17" s="469"/>
      <c r="L17" s="469"/>
      <c r="M17" s="469"/>
      <c r="N17" s="469"/>
      <c r="O17" s="451"/>
    </row>
    <row r="18" spans="1:15" ht="31.15" customHeight="1" x14ac:dyDescent="0.3">
      <c r="A18" s="464">
        <v>30</v>
      </c>
      <c r="B18" s="472" t="s">
        <v>81</v>
      </c>
      <c r="C18" s="466"/>
      <c r="D18" s="467">
        <v>0.65</v>
      </c>
      <c r="E18" s="466" t="s">
        <v>24</v>
      </c>
      <c r="F18" s="466">
        <v>1</v>
      </c>
      <c r="G18" s="471" t="s">
        <v>117</v>
      </c>
      <c r="H18" s="466">
        <v>0.5</v>
      </c>
      <c r="I18" s="458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ht="14.45" x14ac:dyDescent="0.3">
      <c r="A19" s="468">
        <v>40</v>
      </c>
      <c r="B19" s="466" t="s">
        <v>80</v>
      </c>
      <c r="C19" s="466" t="s">
        <v>255</v>
      </c>
      <c r="D19" s="467">
        <v>0.04</v>
      </c>
      <c r="E19" s="466" t="s">
        <v>79</v>
      </c>
      <c r="F19" s="466">
        <v>1</v>
      </c>
      <c r="G19" s="466" t="s">
        <v>95</v>
      </c>
      <c r="H19" s="466">
        <v>3</v>
      </c>
      <c r="I19" s="458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x14ac:dyDescent="0.25">
      <c r="A20" s="464">
        <v>50</v>
      </c>
      <c r="B20" s="460" t="s">
        <v>74</v>
      </c>
      <c r="C20" s="463" t="s">
        <v>123</v>
      </c>
      <c r="D20" s="462">
        <v>5.25</v>
      </c>
      <c r="E20" s="460" t="s">
        <v>73</v>
      </c>
      <c r="F20" s="461">
        <f>2*J11</f>
        <v>3.6519999999999999E-3</v>
      </c>
      <c r="G20" s="460"/>
      <c r="H20" s="459"/>
      <c r="I20" s="458">
        <f>F20*D20</f>
        <v>1.9172999999999999E-2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1.2991729999999999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F2" location="SU_A0300_BOM" display="Back to BOM"/>
    <hyperlink ref="E3" location="dSU_03008" display="Drawing"/>
    <hyperlink ref="B4" location="SU_A0300" display="Upper Back A-arm"/>
  </hyperlinks>
  <pageMargins left="0.31496062992125984" right="0.31496062992125984" top="0.31496062992125984" bottom="0.39370078740157483" header="0.51181102362204722" footer="0.31496062992125984"/>
  <pageSetup paperSize="9" scale="75" fitToHeight="99" orientation="landscape" horizontalDpi="1200" verticalDpi="1200"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307</v>
      </c>
    </row>
  </sheetData>
  <hyperlinks>
    <hyperlink ref="B1" location="SU_03008" display="SU_03008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6.7109375" style="103" customWidth="1"/>
    <col min="3" max="3" width="17.28515625" style="103" customWidth="1"/>
    <col min="4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10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1.49211</v>
      </c>
      <c r="O2" s="451"/>
    </row>
    <row r="3" spans="1:15" ht="14.45" x14ac:dyDescent="0.3">
      <c r="A3" s="500" t="s">
        <v>5</v>
      </c>
      <c r="B3" s="104" t="str">
        <f>'SU A0200'!B3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58" t="s">
        <v>291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259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1.49211</v>
      </c>
      <c r="O5" s="451"/>
    </row>
    <row r="6" spans="1:15" ht="14.45" x14ac:dyDescent="0.3">
      <c r="A6" s="500" t="s">
        <v>9</v>
      </c>
      <c r="B6" s="503" t="s">
        <v>309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43.15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6.9079999999999989E-2</v>
      </c>
      <c r="F11" s="491" t="s">
        <v>43</v>
      </c>
      <c r="G11" s="491"/>
      <c r="H11" s="488"/>
      <c r="I11" s="490" t="s">
        <v>308</v>
      </c>
      <c r="J11" s="489">
        <f>0.08*0.022</f>
        <v>1.7599999999999998E-3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0.15543000000000001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3.5199999999999997E-3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3.5199999999999995E-2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0.19063000000000002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32.450000000000003" customHeight="1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645">
        <v>18.8</v>
      </c>
      <c r="G17" s="481"/>
      <c r="H17" s="479"/>
      <c r="I17" s="478">
        <f>IF(H17="",D17*F17,D17*F17*H17)</f>
        <v>0.188</v>
      </c>
      <c r="J17" s="470"/>
      <c r="K17" s="469"/>
      <c r="L17" s="469"/>
      <c r="M17" s="469"/>
      <c r="N17" s="469"/>
      <c r="O17" s="451"/>
    </row>
    <row r="18" spans="1:15" ht="43.15" x14ac:dyDescent="0.3">
      <c r="A18" s="464">
        <v>30</v>
      </c>
      <c r="B18" s="644" t="s">
        <v>81</v>
      </c>
      <c r="C18" s="642"/>
      <c r="D18" s="643">
        <v>0.65</v>
      </c>
      <c r="E18" s="642" t="s">
        <v>24</v>
      </c>
      <c r="F18" s="642">
        <v>1</v>
      </c>
      <c r="G18" s="480" t="s">
        <v>117</v>
      </c>
      <c r="H18" s="642">
        <v>0.5</v>
      </c>
      <c r="I18" s="641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x14ac:dyDescent="0.25">
      <c r="A19" s="468">
        <v>40</v>
      </c>
      <c r="B19" s="642" t="s">
        <v>80</v>
      </c>
      <c r="C19" s="642" t="s">
        <v>255</v>
      </c>
      <c r="D19" s="643">
        <v>0.04</v>
      </c>
      <c r="E19" s="642" t="s">
        <v>79</v>
      </c>
      <c r="F19" s="642">
        <v>1</v>
      </c>
      <c r="G19" s="642" t="s">
        <v>95</v>
      </c>
      <c r="H19" s="642">
        <v>3</v>
      </c>
      <c r="I19" s="641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x14ac:dyDescent="0.25">
      <c r="A20" s="464">
        <v>50</v>
      </c>
      <c r="B20" s="481" t="s">
        <v>74</v>
      </c>
      <c r="C20" s="477" t="s">
        <v>123</v>
      </c>
      <c r="D20" s="520">
        <v>5.25</v>
      </c>
      <c r="E20" s="481" t="s">
        <v>73</v>
      </c>
      <c r="F20" s="519">
        <f>2*J11</f>
        <v>3.5199999999999997E-3</v>
      </c>
      <c r="G20" s="481"/>
      <c r="H20" s="479"/>
      <c r="I20" s="641">
        <f>F20*D20</f>
        <v>1.848E-2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1.30148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F2" location="SU_A0300_BOM" display="Back to BOM"/>
    <hyperlink ref="E3" location="dSU_03009" display="Drawing"/>
    <hyperlink ref="B4" location="SU_A0300" display="Upper Back A-arm"/>
  </hyperlinks>
  <pageMargins left="0.31496062992125984" right="0.31496062992125984" top="0.31496062992125984" bottom="0.39370078740157483" header="0.51181102362204722" footer="0.31496062992125984"/>
  <pageSetup paperSize="9" scale="77" fitToHeight="99" orientation="landscape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8.85546875" style="103" customWidth="1"/>
    <col min="2" max="16384" width="11.5703125" style="103"/>
  </cols>
  <sheetData>
    <row r="1" spans="1:2" x14ac:dyDescent="0.3">
      <c r="A1" s="103" t="s">
        <v>89</v>
      </c>
      <c r="B1" s="60" t="s">
        <v>237</v>
      </c>
    </row>
    <row r="6" spans="1:2" x14ac:dyDescent="0.3">
      <c r="B6" s="397"/>
    </row>
  </sheetData>
  <hyperlinks>
    <hyperlink ref="B1" location="SU_01002" display="SU_01002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310</v>
      </c>
    </row>
  </sheetData>
  <hyperlinks>
    <hyperlink ref="B1" location="SU_03009" display="SU_03009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7.7109375" style="103" customWidth="1"/>
    <col min="3" max="3" width="14.5703125" style="103" customWidth="1"/>
    <col min="4" max="8" width="11.5703125" style="103"/>
    <col min="9" max="9" width="13" style="103" customWidth="1"/>
    <col min="10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10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1.2680301249999999</v>
      </c>
      <c r="O2" s="451"/>
    </row>
    <row r="3" spans="1:15" ht="14.45" x14ac:dyDescent="0.3">
      <c r="A3" s="500" t="s">
        <v>5</v>
      </c>
      <c r="B3" s="104" t="str">
        <f>'SU A0200'!B3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58" t="s">
        <v>291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261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1.2680301249999999</v>
      </c>
      <c r="O5" s="451"/>
    </row>
    <row r="6" spans="1:15" ht="14.45" x14ac:dyDescent="0.3">
      <c r="A6" s="500" t="s">
        <v>9</v>
      </c>
      <c r="B6" s="503" t="s">
        <v>312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28.15" customHeight="1" x14ac:dyDescent="0.3">
      <c r="A11" s="497">
        <v>10</v>
      </c>
      <c r="B11" s="496" t="s">
        <v>112</v>
      </c>
      <c r="C11" s="796" t="s">
        <v>115</v>
      </c>
      <c r="D11" s="499">
        <v>2.25</v>
      </c>
      <c r="E11" s="498">
        <f>J11*K11*L11</f>
        <v>2.6768500000000001E-2</v>
      </c>
      <c r="F11" s="491" t="s">
        <v>43</v>
      </c>
      <c r="G11" s="491"/>
      <c r="H11" s="488"/>
      <c r="I11" s="490" t="s">
        <v>311</v>
      </c>
      <c r="J11" s="489">
        <f>0.031*0.022</f>
        <v>6.8199999999999999E-4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6.0229125000000001E-2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1.364E-3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1.3639999999999999E-2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7.3869125000000008E-2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33" customHeight="1" x14ac:dyDescent="0.3">
      <c r="A16" s="464">
        <v>10</v>
      </c>
      <c r="B16" s="481" t="s">
        <v>81</v>
      </c>
      <c r="C16" s="480" t="s">
        <v>285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645">
        <v>9.1999999999999993</v>
      </c>
      <c r="G17" s="481"/>
      <c r="H17" s="479"/>
      <c r="I17" s="478">
        <f>IF(H17="",D17*F17,D17*F17*H17)</f>
        <v>9.1999999999999998E-2</v>
      </c>
      <c r="J17" s="470"/>
      <c r="K17" s="469"/>
      <c r="L17" s="469"/>
      <c r="M17" s="469"/>
      <c r="N17" s="469"/>
      <c r="O17" s="451"/>
    </row>
    <row r="18" spans="1:15" ht="43.15" x14ac:dyDescent="0.3">
      <c r="A18" s="464">
        <v>30</v>
      </c>
      <c r="B18" s="644" t="s">
        <v>81</v>
      </c>
      <c r="C18" s="642"/>
      <c r="D18" s="643">
        <v>0.65</v>
      </c>
      <c r="E18" s="642" t="s">
        <v>24</v>
      </c>
      <c r="F18" s="642">
        <v>1</v>
      </c>
      <c r="G18" s="480" t="s">
        <v>117</v>
      </c>
      <c r="H18" s="642">
        <v>0.5</v>
      </c>
      <c r="I18" s="641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ht="14.45" x14ac:dyDescent="0.3">
      <c r="A19" s="468">
        <v>40</v>
      </c>
      <c r="B19" s="642" t="s">
        <v>80</v>
      </c>
      <c r="C19" s="642" t="s">
        <v>255</v>
      </c>
      <c r="D19" s="643">
        <v>0.04</v>
      </c>
      <c r="E19" s="642" t="s">
        <v>79</v>
      </c>
      <c r="F19" s="642">
        <v>1</v>
      </c>
      <c r="G19" s="642" t="s">
        <v>95</v>
      </c>
      <c r="H19" s="642">
        <v>3</v>
      </c>
      <c r="I19" s="641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x14ac:dyDescent="0.25">
      <c r="A20" s="464">
        <v>50</v>
      </c>
      <c r="B20" s="481" t="s">
        <v>74</v>
      </c>
      <c r="C20" s="477" t="s">
        <v>123</v>
      </c>
      <c r="D20" s="520">
        <v>5.25</v>
      </c>
      <c r="E20" s="481" t="s">
        <v>73</v>
      </c>
      <c r="F20" s="519">
        <f>2*J11</f>
        <v>1.364E-3</v>
      </c>
      <c r="G20" s="481"/>
      <c r="H20" s="479"/>
      <c r="I20" s="641">
        <f>F20*D20</f>
        <v>7.1609999999999998E-3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1.1941609999999998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F2" location="SU_A0300_BOM" display="Back to BOM"/>
    <hyperlink ref="E3" location="dSU_03010" display="Drawing"/>
    <hyperlink ref="B4" location="SU_A0300" display="Upper Back A-arm"/>
  </hyperlinks>
  <pageMargins left="0.31496062992125984" right="0.31496062992125984" top="0.31496062992125984" bottom="0.39370078740157483" header="0.51181102362204722" footer="0.31496062992125984"/>
  <pageSetup paperSize="9" scale="78" fitToHeight="99" orientation="landscape" horizontalDpi="1200" verticalDpi="1200"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313</v>
      </c>
    </row>
  </sheetData>
  <hyperlinks>
    <hyperlink ref="B1" location="SU_03010" display="SU_03010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7.7109375" style="103" customWidth="1"/>
    <col min="3" max="3" width="17.28515625" style="103" customWidth="1"/>
    <col min="4" max="6" width="11.5703125" style="103"/>
    <col min="7" max="7" width="16.140625" style="103" customWidth="1"/>
    <col min="8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10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1.3787631249999999</v>
      </c>
      <c r="O2" s="451"/>
    </row>
    <row r="3" spans="1:15" ht="14.45" x14ac:dyDescent="0.3">
      <c r="A3" s="500" t="s">
        <v>5</v>
      </c>
      <c r="B3" s="104" t="str">
        <f>'SU A0200'!B3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58" t="s">
        <v>291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263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1.3787631249999999</v>
      </c>
      <c r="O5" s="451"/>
    </row>
    <row r="6" spans="1:15" ht="14.45" x14ac:dyDescent="0.3">
      <c r="A6" s="500" t="s">
        <v>9</v>
      </c>
      <c r="B6" s="503" t="s">
        <v>315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43.15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4.74925E-2</v>
      </c>
      <c r="F11" s="491" t="s">
        <v>43</v>
      </c>
      <c r="G11" s="491"/>
      <c r="H11" s="488"/>
      <c r="I11" s="490" t="s">
        <v>314</v>
      </c>
      <c r="J11" s="489">
        <f>0.055*0.022</f>
        <v>1.2099999999999999E-3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0.10685812499999998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2.4199999999999998E-3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2.4199999999999999E-2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0.13105812499999997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28.15" customHeight="1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645">
        <v>14</v>
      </c>
      <c r="G17" s="481"/>
      <c r="H17" s="479"/>
      <c r="I17" s="478">
        <f>IF(H17="",D17*F17,D17*F17*H17)</f>
        <v>0.14000000000000001</v>
      </c>
      <c r="J17" s="470"/>
      <c r="K17" s="469"/>
      <c r="L17" s="469"/>
      <c r="M17" s="469"/>
      <c r="N17" s="469"/>
      <c r="O17" s="451"/>
    </row>
    <row r="18" spans="1:15" ht="28.9" customHeight="1" x14ac:dyDescent="0.3">
      <c r="A18" s="464">
        <v>30</v>
      </c>
      <c r="B18" s="644" t="s">
        <v>81</v>
      </c>
      <c r="C18" s="642"/>
      <c r="D18" s="643">
        <v>0.65</v>
      </c>
      <c r="E18" s="642" t="s">
        <v>24</v>
      </c>
      <c r="F18" s="642">
        <v>1</v>
      </c>
      <c r="G18" s="480" t="s">
        <v>117</v>
      </c>
      <c r="H18" s="642">
        <v>0.5</v>
      </c>
      <c r="I18" s="641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ht="14.45" x14ac:dyDescent="0.3">
      <c r="A19" s="468">
        <v>40</v>
      </c>
      <c r="B19" s="642" t="s">
        <v>80</v>
      </c>
      <c r="C19" s="642" t="s">
        <v>255</v>
      </c>
      <c r="D19" s="643">
        <v>0.04</v>
      </c>
      <c r="E19" s="642" t="s">
        <v>79</v>
      </c>
      <c r="F19" s="642">
        <v>1</v>
      </c>
      <c r="G19" s="642" t="s">
        <v>95</v>
      </c>
      <c r="H19" s="642">
        <v>3</v>
      </c>
      <c r="I19" s="641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ht="13.15" customHeight="1" x14ac:dyDescent="0.25">
      <c r="A20" s="464">
        <v>50</v>
      </c>
      <c r="B20" s="481" t="s">
        <v>74</v>
      </c>
      <c r="C20" s="477" t="s">
        <v>123</v>
      </c>
      <c r="D20" s="520">
        <v>5.25</v>
      </c>
      <c r="E20" s="481" t="s">
        <v>73</v>
      </c>
      <c r="F20" s="519">
        <f>2*J11</f>
        <v>2.4199999999999998E-3</v>
      </c>
      <c r="G20" s="481"/>
      <c r="H20" s="479"/>
      <c r="I20" s="641">
        <f>F20*D20</f>
        <v>1.2704999999999999E-2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1.2477049999999998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F2" location="SU_A0300_BOM" display="Back to BOM"/>
    <hyperlink ref="E3" location="dSU_03011" display="Drawing"/>
    <hyperlink ref="B4" location="SU_A0300" display="Upper Back A-arm"/>
  </hyperlinks>
  <pageMargins left="0.31496062992125984" right="0.31496062992125984" top="0.31496062992125984" bottom="0.39370078740157483" header="0.51181102362204722" footer="0.31496062992125984"/>
  <pageSetup paperSize="9" scale="74" fitToHeight="99" orientation="landscape" horizontalDpi="1200" verticalDpi="1200"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316</v>
      </c>
    </row>
  </sheetData>
  <hyperlinks>
    <hyperlink ref="B1" location="SU_03011" display="SU_0301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4"/>
  <sheetViews>
    <sheetView zoomScale="70" zoomScaleNormal="70" zoomScaleSheetLayoutView="8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647"/>
    <col min="2" max="2" width="57.140625" style="647" customWidth="1"/>
    <col min="3" max="3" width="55.7109375" style="647" customWidth="1"/>
    <col min="4" max="4" width="10.7109375" style="647" customWidth="1"/>
    <col min="5" max="13" width="9.140625" style="647"/>
    <col min="14" max="14" width="11.5703125" style="647" customWidth="1"/>
    <col min="15" max="15" width="5.28515625" style="647" customWidth="1"/>
    <col min="16" max="16384" width="9.140625" style="647"/>
  </cols>
  <sheetData>
    <row r="1" spans="1:15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5" ht="14.45" x14ac:dyDescent="0.3">
      <c r="A2" s="669" t="s">
        <v>0</v>
      </c>
      <c r="B2" s="684" t="s">
        <v>1</v>
      </c>
      <c r="C2" s="648"/>
      <c r="D2" s="648"/>
      <c r="E2" s="58" t="s">
        <v>2</v>
      </c>
      <c r="F2" s="648"/>
      <c r="G2" s="648"/>
      <c r="H2" s="648"/>
      <c r="I2" s="648"/>
      <c r="J2" s="669" t="s">
        <v>3</v>
      </c>
      <c r="K2" s="687">
        <v>81</v>
      </c>
      <c r="L2" s="648"/>
      <c r="M2" s="669" t="s">
        <v>4</v>
      </c>
      <c r="N2" s="59">
        <f>SU_A0400_pa+SU_A0400_m+SU_A0400_p+SU_A0400_f</f>
        <v>83.303985548954586</v>
      </c>
      <c r="O2" s="652"/>
    </row>
    <row r="3" spans="1:15" ht="14.45" x14ac:dyDescent="0.3">
      <c r="A3" s="669" t="s">
        <v>5</v>
      </c>
      <c r="B3" s="684" t="s">
        <v>106</v>
      </c>
      <c r="C3" s="648"/>
      <c r="D3" s="648"/>
      <c r="E3" s="648"/>
      <c r="F3" s="648"/>
      <c r="G3" s="648"/>
      <c r="H3" s="648"/>
      <c r="I3" s="648"/>
      <c r="J3" s="648"/>
      <c r="K3" s="648"/>
      <c r="L3" s="648"/>
      <c r="M3" s="669" t="s">
        <v>6</v>
      </c>
      <c r="N3" s="47">
        <v>2</v>
      </c>
      <c r="O3" s="652"/>
    </row>
    <row r="4" spans="1:15" ht="14.45" x14ac:dyDescent="0.3">
      <c r="A4" s="669" t="s">
        <v>7</v>
      </c>
      <c r="B4" s="680" t="s">
        <v>318</v>
      </c>
      <c r="C4" s="648"/>
      <c r="D4" s="648"/>
      <c r="E4" s="648"/>
      <c r="F4" s="648"/>
      <c r="G4" s="648"/>
      <c r="H4" s="648"/>
      <c r="I4" s="648"/>
      <c r="J4" s="685" t="s">
        <v>8</v>
      </c>
      <c r="K4" s="648"/>
      <c r="L4" s="648"/>
      <c r="M4" s="648"/>
      <c r="N4" s="648"/>
      <c r="O4" s="652"/>
    </row>
    <row r="5" spans="1:15" ht="14.45" x14ac:dyDescent="0.3">
      <c r="A5" s="669" t="s">
        <v>9</v>
      </c>
      <c r="B5" s="686" t="s">
        <v>317</v>
      </c>
      <c r="C5" s="648"/>
      <c r="D5" s="648"/>
      <c r="E5" s="648"/>
      <c r="F5" s="648"/>
      <c r="G5" s="648"/>
      <c r="H5" s="648"/>
      <c r="I5" s="648"/>
      <c r="J5" s="685" t="s">
        <v>10</v>
      </c>
      <c r="K5" s="648"/>
      <c r="L5" s="648"/>
      <c r="M5" s="669" t="s">
        <v>11</v>
      </c>
      <c r="N5" s="46">
        <f>N2*N3</f>
        <v>166.60797109790917</v>
      </c>
      <c r="O5" s="652"/>
    </row>
    <row r="6" spans="1:15" ht="14.45" x14ac:dyDescent="0.3">
      <c r="A6" s="669" t="s">
        <v>12</v>
      </c>
      <c r="B6" s="684"/>
      <c r="C6" s="648"/>
      <c r="D6" s="648"/>
      <c r="E6" s="648"/>
      <c r="F6" s="648"/>
      <c r="G6" s="648"/>
      <c r="H6" s="648"/>
      <c r="I6" s="648"/>
      <c r="J6" s="685" t="s">
        <v>14</v>
      </c>
      <c r="K6" s="648"/>
      <c r="L6" s="648"/>
      <c r="M6" s="648"/>
      <c r="N6" s="648"/>
      <c r="O6" s="652"/>
    </row>
    <row r="7" spans="1:15" ht="14.45" x14ac:dyDescent="0.3">
      <c r="A7" s="669" t="s">
        <v>15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5" ht="14.45" x14ac:dyDescent="0.3">
      <c r="A8" s="653"/>
      <c r="B8" s="648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5" ht="14.45" x14ac:dyDescent="0.3">
      <c r="A9" s="669" t="s">
        <v>16</v>
      </c>
      <c r="B9" s="669" t="s">
        <v>17</v>
      </c>
      <c r="C9" s="669" t="s">
        <v>18</v>
      </c>
      <c r="D9" s="669" t="s">
        <v>19</v>
      </c>
      <c r="E9" s="669" t="s">
        <v>20</v>
      </c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5" ht="14.45" x14ac:dyDescent="0.3">
      <c r="A10" s="673">
        <v>10</v>
      </c>
      <c r="B10" s="57" t="str">
        <f>'SU 04001'!B5</f>
        <v>Lower Back Bearing Support</v>
      </c>
      <c r="C10" s="46">
        <f>'SU 04001'!N2</f>
        <v>8.9540000000000006</v>
      </c>
      <c r="D10" s="683">
        <f>SU_04001_q</f>
        <v>1</v>
      </c>
      <c r="E10" s="46">
        <f t="shared" ref="E10:E20" si="0">C10*D10</f>
        <v>8.9540000000000006</v>
      </c>
      <c r="F10" s="648"/>
      <c r="G10" s="648"/>
      <c r="H10" s="648"/>
      <c r="I10" s="648"/>
      <c r="J10" s="648"/>
      <c r="K10" s="648"/>
      <c r="L10" s="648"/>
      <c r="M10" s="648"/>
      <c r="N10" s="648"/>
      <c r="O10" s="652"/>
    </row>
    <row r="11" spans="1:15" ht="14.45" x14ac:dyDescent="0.3">
      <c r="A11" s="673">
        <v>20</v>
      </c>
      <c r="B11" s="57" t="str">
        <f>'SU 04002'!B5</f>
        <v>Inner Bearing Support</v>
      </c>
      <c r="C11" s="46">
        <f>'SU 04002'!N2</f>
        <v>1.8728805440000003</v>
      </c>
      <c r="D11" s="683">
        <f>SU_04002_q</f>
        <v>2</v>
      </c>
      <c r="E11" s="46">
        <f t="shared" si="0"/>
        <v>3.7457610880000005</v>
      </c>
      <c r="F11" s="680"/>
      <c r="G11" s="680"/>
      <c r="H11" s="680"/>
      <c r="I11" s="680"/>
      <c r="J11" s="680"/>
      <c r="K11" s="680"/>
      <c r="L11" s="680"/>
      <c r="M11" s="680"/>
      <c r="N11" s="680"/>
      <c r="O11" s="652"/>
    </row>
    <row r="12" spans="1:15" ht="14.45" x14ac:dyDescent="0.3">
      <c r="A12" s="673">
        <v>30</v>
      </c>
      <c r="B12" s="57" t="str">
        <f>'SU 04003'!B5</f>
        <v>Lower Back A-arm tube (Front)  Carbon Fiber Tube</v>
      </c>
      <c r="C12" s="46">
        <f>'SU 04003'!N2</f>
        <v>12.033390599999997</v>
      </c>
      <c r="D12" s="683">
        <f>SU_04003_q</f>
        <v>1</v>
      </c>
      <c r="E12" s="46">
        <f t="shared" si="0"/>
        <v>12.033390599999997</v>
      </c>
      <c r="F12" s="680"/>
      <c r="G12" s="680"/>
      <c r="H12" s="680"/>
      <c r="I12" s="680"/>
      <c r="J12" s="680"/>
      <c r="K12" s="680"/>
      <c r="L12" s="680"/>
      <c r="M12" s="680"/>
      <c r="N12" s="680"/>
      <c r="O12" s="55"/>
    </row>
    <row r="13" spans="1:15" s="681" customFormat="1" ht="14.45" x14ac:dyDescent="0.3">
      <c r="A13" s="673">
        <v>40</v>
      </c>
      <c r="B13" s="57" t="str">
        <f>'SU 04004'!B5</f>
        <v>Lower Back A-arm tube (Back)  Carbon Fiber Tube</v>
      </c>
      <c r="C13" s="46">
        <f>'SU 04004'!N2</f>
        <v>7.4075677199999985</v>
      </c>
      <c r="D13" s="683">
        <f>SU_04004_q</f>
        <v>1</v>
      </c>
      <c r="E13" s="46">
        <f t="shared" si="0"/>
        <v>7.4075677199999985</v>
      </c>
      <c r="F13" s="680"/>
      <c r="G13" s="680"/>
      <c r="H13" s="680"/>
      <c r="I13" s="680"/>
      <c r="J13" s="680"/>
      <c r="K13" s="680"/>
      <c r="L13" s="680"/>
      <c r="M13" s="680"/>
      <c r="N13" s="680"/>
      <c r="O13" s="55"/>
    </row>
    <row r="14" spans="1:15" s="681" customFormat="1" ht="14.45" x14ac:dyDescent="0.3">
      <c r="A14" s="673">
        <v>50</v>
      </c>
      <c r="B14" s="57" t="str">
        <f>'SU 04005'!B5</f>
        <v>Spacer 1</v>
      </c>
      <c r="C14" s="46">
        <f>'SU 04005'!N2</f>
        <v>1.6276857568</v>
      </c>
      <c r="D14" s="683">
        <f>SU_04005_q</f>
        <v>2</v>
      </c>
      <c r="E14" s="46">
        <f t="shared" si="0"/>
        <v>3.2553715136000001</v>
      </c>
      <c r="F14" s="680"/>
      <c r="G14" s="680"/>
      <c r="H14" s="680"/>
      <c r="I14" s="680"/>
      <c r="J14" s="680"/>
      <c r="K14" s="680"/>
      <c r="L14" s="680"/>
      <c r="M14" s="680"/>
      <c r="N14" s="680"/>
      <c r="O14" s="682"/>
    </row>
    <row r="15" spans="1:15" s="681" customFormat="1" ht="14.45" x14ac:dyDescent="0.3">
      <c r="A15" s="673">
        <v>60</v>
      </c>
      <c r="B15" s="57" t="str">
        <f>'SU 04006'!B5</f>
        <v>Spacer 2</v>
      </c>
      <c r="C15" s="46">
        <f>'SU 04006'!N2</f>
        <v>0.80517824000000005</v>
      </c>
      <c r="D15" s="683">
        <f>SU_04006_q</f>
        <v>4</v>
      </c>
      <c r="E15" s="46">
        <f t="shared" si="0"/>
        <v>3.2207129600000002</v>
      </c>
      <c r="F15" s="680"/>
      <c r="G15" s="680"/>
      <c r="H15" s="680"/>
      <c r="I15" s="680"/>
      <c r="J15" s="680"/>
      <c r="K15" s="680"/>
      <c r="L15" s="680"/>
      <c r="M15" s="680"/>
      <c r="N15" s="680"/>
      <c r="O15" s="682"/>
    </row>
    <row r="16" spans="1:15" s="681" customFormat="1" ht="14.45" x14ac:dyDescent="0.3">
      <c r="A16" s="673">
        <v>70</v>
      </c>
      <c r="B16" s="57" t="str">
        <f>'SU 04007'!B5</f>
        <v>Outboard A-arm Insert</v>
      </c>
      <c r="C16" s="46">
        <f>'SU 04007'!N2</f>
        <v>0.47719727680000001</v>
      </c>
      <c r="D16" s="683">
        <f>SU_04007_q</f>
        <v>2</v>
      </c>
      <c r="E16" s="46">
        <f t="shared" si="0"/>
        <v>0.95439455360000003</v>
      </c>
      <c r="F16" s="680"/>
      <c r="G16" s="680"/>
      <c r="H16" s="680"/>
      <c r="I16" s="680"/>
      <c r="J16" s="680"/>
      <c r="K16" s="680"/>
      <c r="L16" s="680"/>
      <c r="M16" s="680"/>
      <c r="N16" s="680"/>
      <c r="O16" s="682"/>
    </row>
    <row r="17" spans="1:15" s="149" customFormat="1" ht="14.45" x14ac:dyDescent="0.3">
      <c r="A17" s="578">
        <v>80</v>
      </c>
      <c r="B17" s="583" t="str">
        <f>'SU 04008'!B5</f>
        <v>Front up bracket</v>
      </c>
      <c r="C17" s="581">
        <f>'SU 04008'!N2</f>
        <v>1.3905750000000001</v>
      </c>
      <c r="D17" s="582">
        <f>SU_04008_q</f>
        <v>1</v>
      </c>
      <c r="E17" s="46">
        <f t="shared" si="0"/>
        <v>1.3905750000000001</v>
      </c>
      <c r="F17" s="80"/>
      <c r="G17" s="80"/>
      <c r="H17" s="80"/>
      <c r="I17" s="80"/>
      <c r="J17" s="80"/>
      <c r="K17" s="80"/>
      <c r="L17" s="80"/>
      <c r="M17" s="80"/>
      <c r="N17" s="80"/>
      <c r="O17" s="84"/>
    </row>
    <row r="18" spans="1:15" s="149" customFormat="1" ht="14.45" x14ac:dyDescent="0.3">
      <c r="A18" s="578">
        <v>90</v>
      </c>
      <c r="B18" s="583" t="str">
        <f>'SU 04009'!B5</f>
        <v>Front down bracket</v>
      </c>
      <c r="C18" s="581">
        <f>'SU 04009'!N2</f>
        <v>1.3814265000000003</v>
      </c>
      <c r="D18" s="582">
        <f>SU_04009_q</f>
        <v>1</v>
      </c>
      <c r="E18" s="46">
        <f t="shared" si="0"/>
        <v>1.3814265000000003</v>
      </c>
      <c r="F18" s="80"/>
      <c r="G18" s="80"/>
      <c r="H18" s="80"/>
      <c r="I18" s="80"/>
      <c r="J18" s="80"/>
      <c r="K18" s="80"/>
      <c r="L18" s="80"/>
      <c r="M18" s="80"/>
      <c r="N18" s="80"/>
      <c r="O18" s="84"/>
    </row>
    <row r="19" spans="1:15" s="149" customFormat="1" ht="14.45" x14ac:dyDescent="0.3">
      <c r="A19" s="578">
        <v>100</v>
      </c>
      <c r="B19" s="583" t="str">
        <f>'SU 04010'!B5</f>
        <v>Rear up bracket</v>
      </c>
      <c r="C19" s="581">
        <f>'SU 04010'!N2</f>
        <v>1.8130709999999999</v>
      </c>
      <c r="D19" s="582">
        <f>SU_04010_q</f>
        <v>1</v>
      </c>
      <c r="E19" s="46">
        <f t="shared" si="0"/>
        <v>1.8130709999999999</v>
      </c>
      <c r="F19" s="80"/>
      <c r="G19" s="80"/>
      <c r="H19" s="80"/>
      <c r="I19" s="80"/>
      <c r="J19" s="80"/>
      <c r="K19" s="80"/>
      <c r="L19" s="80"/>
      <c r="M19" s="80"/>
      <c r="N19" s="80"/>
      <c r="O19" s="84"/>
    </row>
    <row r="20" spans="1:15" s="149" customFormat="1" ht="14.45" x14ac:dyDescent="0.3">
      <c r="A20" s="578">
        <v>110</v>
      </c>
      <c r="B20" s="583" t="str">
        <f>'SU 04011'!B5</f>
        <v>Rear down bracket</v>
      </c>
      <c r="C20" s="581">
        <f>'SU 04011'!N2</f>
        <v>1.9015070000000001</v>
      </c>
      <c r="D20" s="582">
        <f>SU_04011_q</f>
        <v>1</v>
      </c>
      <c r="E20" s="46">
        <f t="shared" si="0"/>
        <v>1.9015070000000001</v>
      </c>
      <c r="F20" s="80"/>
      <c r="G20" s="80"/>
      <c r="H20" s="80"/>
      <c r="I20" s="80"/>
      <c r="J20" s="80"/>
      <c r="K20" s="80"/>
      <c r="L20" s="80"/>
      <c r="M20" s="80"/>
      <c r="N20" s="80"/>
      <c r="O20" s="84"/>
    </row>
    <row r="21" spans="1:15" ht="14.45" x14ac:dyDescent="0.3">
      <c r="A21" s="653"/>
      <c r="B21" s="648"/>
      <c r="C21" s="648"/>
      <c r="D21" s="655" t="s">
        <v>20</v>
      </c>
      <c r="E21" s="654">
        <f>SUM(E10:E20)</f>
        <v>46.057777935199994</v>
      </c>
      <c r="F21" s="680"/>
      <c r="G21" s="680"/>
      <c r="H21" s="680"/>
      <c r="I21" s="680"/>
      <c r="J21" s="680"/>
      <c r="K21" s="680"/>
      <c r="L21" s="680"/>
      <c r="M21" s="680"/>
      <c r="N21" s="680"/>
      <c r="O21" s="652"/>
    </row>
    <row r="22" spans="1:15" ht="14.45" x14ac:dyDescent="0.3">
      <c r="A22" s="653"/>
      <c r="B22" s="648"/>
      <c r="C22" s="648"/>
      <c r="D22" s="648"/>
      <c r="E22" s="648"/>
      <c r="F22" s="648"/>
      <c r="G22" s="648"/>
      <c r="H22" s="648"/>
      <c r="I22" s="648"/>
      <c r="J22" s="648"/>
      <c r="K22" s="648"/>
      <c r="L22" s="648"/>
      <c r="M22" s="648"/>
      <c r="N22" s="648"/>
      <c r="O22" s="652"/>
    </row>
    <row r="23" spans="1:15" ht="14.45" x14ac:dyDescent="0.3">
      <c r="A23" s="669" t="s">
        <v>16</v>
      </c>
      <c r="B23" s="669" t="s">
        <v>38</v>
      </c>
      <c r="C23" s="669" t="s">
        <v>22</v>
      </c>
      <c r="D23" s="669" t="s">
        <v>23</v>
      </c>
      <c r="E23" s="669" t="s">
        <v>31</v>
      </c>
      <c r="F23" s="669" t="s">
        <v>32</v>
      </c>
      <c r="G23" s="669" t="s">
        <v>33</v>
      </c>
      <c r="H23" s="669" t="s">
        <v>34</v>
      </c>
      <c r="I23" s="669" t="s">
        <v>39</v>
      </c>
      <c r="J23" s="669" t="s">
        <v>40</v>
      </c>
      <c r="K23" s="669" t="s">
        <v>41</v>
      </c>
      <c r="L23" s="669" t="s">
        <v>42</v>
      </c>
      <c r="M23" s="669" t="s">
        <v>19</v>
      </c>
      <c r="N23" s="669" t="s">
        <v>20</v>
      </c>
      <c r="O23" s="652"/>
    </row>
    <row r="24" spans="1:15" ht="14.45" customHeight="1" x14ac:dyDescent="0.3">
      <c r="A24" s="673">
        <v>10</v>
      </c>
      <c r="B24" s="673" t="s">
        <v>217</v>
      </c>
      <c r="C24" s="673"/>
      <c r="D24" s="347">
        <f>0.03*E24^2+5</f>
        <v>6.92</v>
      </c>
      <c r="E24" s="673">
        <v>8</v>
      </c>
      <c r="F24" s="673" t="s">
        <v>35</v>
      </c>
      <c r="G24" s="673"/>
      <c r="H24" s="53"/>
      <c r="I24" s="679"/>
      <c r="J24" s="54"/>
      <c r="K24" s="53"/>
      <c r="L24" s="53"/>
      <c r="M24" s="53">
        <v>3</v>
      </c>
      <c r="N24" s="46">
        <f>M24*D24</f>
        <v>20.759999999999998</v>
      </c>
      <c r="O24" s="652"/>
    </row>
    <row r="25" spans="1:15" s="675" customFormat="1" ht="14.45" customHeight="1" x14ac:dyDescent="0.25">
      <c r="A25" s="673">
        <v>20</v>
      </c>
      <c r="B25" s="662" t="s">
        <v>44</v>
      </c>
      <c r="C25" s="674" t="s">
        <v>216</v>
      </c>
      <c r="D25" s="46"/>
      <c r="E25" s="678"/>
      <c r="F25" s="678"/>
      <c r="G25" s="678"/>
      <c r="H25" s="53"/>
      <c r="I25" s="677"/>
      <c r="J25" s="69"/>
      <c r="K25" s="68"/>
      <c r="L25" s="672"/>
      <c r="M25" s="67"/>
      <c r="N25" s="46">
        <f>M25*D25</f>
        <v>0</v>
      </c>
      <c r="O25" s="676"/>
    </row>
    <row r="26" spans="1:15" ht="14.45" customHeight="1" x14ac:dyDescent="0.25">
      <c r="A26" s="673">
        <v>30</v>
      </c>
      <c r="B26" s="662" t="s">
        <v>44</v>
      </c>
      <c r="C26" s="674" t="s">
        <v>215</v>
      </c>
      <c r="D26" s="46"/>
      <c r="E26" s="673"/>
      <c r="F26" s="673"/>
      <c r="G26" s="673"/>
      <c r="H26" s="53"/>
      <c r="I26" s="67"/>
      <c r="J26" s="66"/>
      <c r="K26" s="53"/>
      <c r="L26" s="672"/>
      <c r="M26" s="53"/>
      <c r="N26" s="46">
        <f>M26*D26</f>
        <v>0</v>
      </c>
      <c r="O26" s="652"/>
    </row>
    <row r="27" spans="1:15" ht="14.45" x14ac:dyDescent="0.3">
      <c r="A27" s="657"/>
      <c r="B27" s="656"/>
      <c r="C27" s="656"/>
      <c r="D27" s="656"/>
      <c r="E27" s="656"/>
      <c r="F27" s="656"/>
      <c r="G27" s="656"/>
      <c r="H27" s="656"/>
      <c r="I27" s="656"/>
      <c r="J27" s="656"/>
      <c r="K27" s="656"/>
      <c r="L27" s="656"/>
      <c r="M27" s="669" t="s">
        <v>20</v>
      </c>
      <c r="N27" s="654">
        <f>SUM(N24:N26)</f>
        <v>20.759999999999998</v>
      </c>
      <c r="O27" s="652"/>
    </row>
    <row r="28" spans="1:15" ht="14.45" x14ac:dyDescent="0.3">
      <c r="A28" s="653"/>
      <c r="B28" s="648"/>
      <c r="C28" s="648"/>
      <c r="D28" s="648"/>
      <c r="E28" s="648"/>
      <c r="F28" s="648"/>
      <c r="G28" s="648"/>
      <c r="H28" s="648"/>
      <c r="I28" s="648"/>
      <c r="J28" s="648"/>
      <c r="K28" s="648"/>
      <c r="L28" s="648"/>
      <c r="M28" s="648"/>
      <c r="N28" s="648"/>
      <c r="O28" s="652"/>
    </row>
    <row r="29" spans="1:15" s="670" customFormat="1" ht="14.45" x14ac:dyDescent="0.3">
      <c r="A29" s="669" t="s">
        <v>16</v>
      </c>
      <c r="B29" s="669" t="s">
        <v>21</v>
      </c>
      <c r="C29" s="669" t="s">
        <v>22</v>
      </c>
      <c r="D29" s="669" t="s">
        <v>23</v>
      </c>
      <c r="E29" s="669" t="s">
        <v>24</v>
      </c>
      <c r="F29" s="669" t="s">
        <v>19</v>
      </c>
      <c r="G29" s="669" t="s">
        <v>25</v>
      </c>
      <c r="H29" s="669" t="s">
        <v>26</v>
      </c>
      <c r="I29" s="669" t="s">
        <v>20</v>
      </c>
      <c r="J29" s="656"/>
      <c r="K29" s="656"/>
      <c r="L29" s="656"/>
      <c r="M29" s="656"/>
      <c r="N29" s="656"/>
      <c r="O29" s="671"/>
    </row>
    <row r="30" spans="1:15" s="298" customFormat="1" x14ac:dyDescent="0.25">
      <c r="A30" s="305">
        <v>10</v>
      </c>
      <c r="B30" s="177" t="s">
        <v>131</v>
      </c>
      <c r="C30" s="326" t="s">
        <v>214</v>
      </c>
      <c r="D30" s="185">
        <v>0.02</v>
      </c>
      <c r="E30" s="305" t="s">
        <v>133</v>
      </c>
      <c r="F30" s="323">
        <v>8.66</v>
      </c>
      <c r="G30" s="323" t="s">
        <v>204</v>
      </c>
      <c r="H30" s="323">
        <v>2</v>
      </c>
      <c r="I30" s="185">
        <f t="shared" ref="I30:I51" si="1">IF(H30="",D30*F30,D30*F30*H30)</f>
        <v>0.34639999999999999</v>
      </c>
      <c r="J30" s="301"/>
      <c r="K30" s="301"/>
      <c r="L30" s="301"/>
      <c r="M30" s="301"/>
      <c r="N30" s="301"/>
      <c r="O30" s="325"/>
    </row>
    <row r="31" spans="1:15" s="298" customFormat="1" x14ac:dyDescent="0.25">
      <c r="A31" s="305">
        <v>20</v>
      </c>
      <c r="B31" s="177" t="s">
        <v>113</v>
      </c>
      <c r="C31" s="326" t="s">
        <v>213</v>
      </c>
      <c r="D31" s="185">
        <v>0.02</v>
      </c>
      <c r="E31" s="305" t="s">
        <v>133</v>
      </c>
      <c r="F31" s="323">
        <v>8.66</v>
      </c>
      <c r="G31" s="323" t="s">
        <v>204</v>
      </c>
      <c r="H31" s="323">
        <v>2</v>
      </c>
      <c r="I31" s="185">
        <f t="shared" si="1"/>
        <v>0.34639999999999999</v>
      </c>
      <c r="J31" s="300"/>
      <c r="K31" s="300"/>
      <c r="L31" s="300"/>
      <c r="M31" s="300"/>
      <c r="N31" s="300"/>
      <c r="O31" s="299"/>
    </row>
    <row r="32" spans="1:15" s="298" customFormat="1" x14ac:dyDescent="0.25">
      <c r="A32" s="305">
        <v>30</v>
      </c>
      <c r="B32" s="177" t="s">
        <v>131</v>
      </c>
      <c r="C32" s="326" t="s">
        <v>212</v>
      </c>
      <c r="D32" s="185">
        <v>0.02</v>
      </c>
      <c r="E32" s="305" t="s">
        <v>133</v>
      </c>
      <c r="F32" s="323">
        <v>8.66</v>
      </c>
      <c r="G32" s="323" t="s">
        <v>204</v>
      </c>
      <c r="H32" s="323">
        <v>2</v>
      </c>
      <c r="I32" s="185">
        <f t="shared" si="1"/>
        <v>0.34639999999999999</v>
      </c>
      <c r="J32" s="301"/>
      <c r="K32" s="301"/>
      <c r="L32" s="301"/>
      <c r="M32" s="301"/>
      <c r="N32" s="301"/>
      <c r="O32" s="325"/>
    </row>
    <row r="33" spans="1:15" s="298" customFormat="1" ht="14.45" x14ac:dyDescent="0.3">
      <c r="A33" s="305">
        <v>40</v>
      </c>
      <c r="B33" s="177" t="s">
        <v>197</v>
      </c>
      <c r="C33" s="324" t="s">
        <v>211</v>
      </c>
      <c r="D33" s="185">
        <v>0.06</v>
      </c>
      <c r="E33" s="177" t="s">
        <v>24</v>
      </c>
      <c r="F33" s="323">
        <v>1</v>
      </c>
      <c r="G33" s="323" t="s">
        <v>204</v>
      </c>
      <c r="H33" s="323">
        <v>2</v>
      </c>
      <c r="I33" s="185">
        <f t="shared" si="1"/>
        <v>0.12</v>
      </c>
      <c r="J33" s="300"/>
      <c r="K33" s="300"/>
      <c r="L33" s="300"/>
      <c r="M33" s="300"/>
      <c r="N33" s="300"/>
      <c r="O33" s="299"/>
    </row>
    <row r="34" spans="1:15" s="298" customFormat="1" x14ac:dyDescent="0.25">
      <c r="A34" s="305">
        <v>50</v>
      </c>
      <c r="B34" s="177" t="s">
        <v>131</v>
      </c>
      <c r="C34" s="326" t="s">
        <v>210</v>
      </c>
      <c r="D34" s="185">
        <v>0.02</v>
      </c>
      <c r="E34" s="305" t="s">
        <v>133</v>
      </c>
      <c r="F34" s="323">
        <v>12.43</v>
      </c>
      <c r="G34" s="323" t="s">
        <v>204</v>
      </c>
      <c r="H34" s="323">
        <v>2</v>
      </c>
      <c r="I34" s="185">
        <f t="shared" si="1"/>
        <v>0.49719999999999998</v>
      </c>
      <c r="J34" s="301"/>
      <c r="K34" s="301"/>
      <c r="L34" s="301"/>
      <c r="M34" s="301"/>
      <c r="N34" s="301"/>
      <c r="O34" s="325"/>
    </row>
    <row r="35" spans="1:15" s="298" customFormat="1" x14ac:dyDescent="0.25">
      <c r="A35" s="305">
        <v>60</v>
      </c>
      <c r="B35" s="177" t="s">
        <v>113</v>
      </c>
      <c r="C35" s="326" t="s">
        <v>209</v>
      </c>
      <c r="D35" s="185">
        <v>0.02</v>
      </c>
      <c r="E35" s="305" t="s">
        <v>133</v>
      </c>
      <c r="F35" s="323">
        <v>12.43</v>
      </c>
      <c r="G35" s="323" t="s">
        <v>204</v>
      </c>
      <c r="H35" s="323">
        <v>2</v>
      </c>
      <c r="I35" s="185">
        <f t="shared" si="1"/>
        <v>0.49719999999999998</v>
      </c>
      <c r="J35" s="300"/>
      <c r="K35" s="300"/>
      <c r="L35" s="300"/>
      <c r="M35" s="300"/>
      <c r="N35" s="300"/>
      <c r="O35" s="299"/>
    </row>
    <row r="36" spans="1:15" s="298" customFormat="1" x14ac:dyDescent="0.25">
      <c r="A36" s="305">
        <v>70</v>
      </c>
      <c r="B36" s="177" t="s">
        <v>131</v>
      </c>
      <c r="C36" s="326" t="s">
        <v>132</v>
      </c>
      <c r="D36" s="185">
        <v>0.02</v>
      </c>
      <c r="E36" s="305" t="s">
        <v>133</v>
      </c>
      <c r="F36" s="323">
        <v>12.43</v>
      </c>
      <c r="G36" s="323" t="s">
        <v>204</v>
      </c>
      <c r="H36" s="323">
        <v>2</v>
      </c>
      <c r="I36" s="185">
        <f t="shared" si="1"/>
        <v>0.49719999999999998</v>
      </c>
      <c r="J36" s="301"/>
      <c r="K36" s="301"/>
      <c r="L36" s="301"/>
      <c r="M36" s="301"/>
      <c r="N36" s="301"/>
      <c r="O36" s="325"/>
    </row>
    <row r="37" spans="1:15" s="298" customFormat="1" x14ac:dyDescent="0.25">
      <c r="A37" s="305">
        <v>80</v>
      </c>
      <c r="B37" s="177" t="s">
        <v>197</v>
      </c>
      <c r="C37" s="324" t="s">
        <v>208</v>
      </c>
      <c r="D37" s="185">
        <v>0.14000000000000001</v>
      </c>
      <c r="E37" s="177" t="s">
        <v>24</v>
      </c>
      <c r="F37" s="323">
        <v>1</v>
      </c>
      <c r="G37" s="323" t="s">
        <v>204</v>
      </c>
      <c r="H37" s="323">
        <v>2</v>
      </c>
      <c r="I37" s="185">
        <f t="shared" si="1"/>
        <v>0.28000000000000003</v>
      </c>
      <c r="J37" s="321"/>
      <c r="K37" s="321"/>
      <c r="L37" s="321"/>
      <c r="M37" s="321"/>
      <c r="N37" s="321"/>
      <c r="O37" s="320"/>
    </row>
    <row r="38" spans="1:15" s="298" customFormat="1" x14ac:dyDescent="0.25">
      <c r="A38" s="305">
        <v>90</v>
      </c>
      <c r="B38" s="177" t="s">
        <v>131</v>
      </c>
      <c r="C38" s="326" t="s">
        <v>207</v>
      </c>
      <c r="D38" s="185">
        <v>0.02</v>
      </c>
      <c r="E38" s="305" t="s">
        <v>133</v>
      </c>
      <c r="F38" s="323">
        <v>12.43</v>
      </c>
      <c r="G38" s="323" t="s">
        <v>204</v>
      </c>
      <c r="H38" s="323">
        <v>2</v>
      </c>
      <c r="I38" s="185">
        <f t="shared" si="1"/>
        <v>0.49719999999999998</v>
      </c>
      <c r="J38" s="301"/>
      <c r="K38" s="301"/>
      <c r="L38" s="301"/>
      <c r="M38" s="301"/>
      <c r="N38" s="301"/>
      <c r="O38" s="325"/>
    </row>
    <row r="39" spans="1:15" s="298" customFormat="1" x14ac:dyDescent="0.25">
      <c r="A39" s="305">
        <v>100</v>
      </c>
      <c r="B39" s="177" t="s">
        <v>113</v>
      </c>
      <c r="C39" s="326" t="s">
        <v>206</v>
      </c>
      <c r="D39" s="185">
        <v>0.18</v>
      </c>
      <c r="E39" s="305" t="s">
        <v>133</v>
      </c>
      <c r="F39" s="323">
        <v>12.43</v>
      </c>
      <c r="G39" s="323" t="s">
        <v>204</v>
      </c>
      <c r="H39" s="323">
        <v>2</v>
      </c>
      <c r="I39" s="185">
        <f t="shared" si="1"/>
        <v>4.4748000000000001</v>
      </c>
      <c r="J39" s="321"/>
      <c r="K39" s="321"/>
      <c r="L39" s="321"/>
      <c r="M39" s="321"/>
      <c r="N39" s="321"/>
      <c r="O39" s="325"/>
    </row>
    <row r="40" spans="1:15" s="298" customFormat="1" x14ac:dyDescent="0.25">
      <c r="A40" s="305">
        <v>110</v>
      </c>
      <c r="B40" s="177" t="s">
        <v>131</v>
      </c>
      <c r="C40" s="326" t="s">
        <v>132</v>
      </c>
      <c r="D40" s="185">
        <v>0.02</v>
      </c>
      <c r="E40" s="305" t="s">
        <v>133</v>
      </c>
      <c r="F40" s="323">
        <v>12.43</v>
      </c>
      <c r="G40" s="323" t="s">
        <v>204</v>
      </c>
      <c r="H40" s="323">
        <v>2</v>
      </c>
      <c r="I40" s="185">
        <f t="shared" si="1"/>
        <v>0.49719999999999998</v>
      </c>
      <c r="J40" s="301"/>
      <c r="K40" s="301"/>
      <c r="L40" s="301"/>
      <c r="M40" s="301"/>
      <c r="N40" s="301"/>
      <c r="O40" s="325"/>
    </row>
    <row r="41" spans="1:15" s="298" customFormat="1" ht="30" x14ac:dyDescent="0.25">
      <c r="A41" s="305">
        <v>120</v>
      </c>
      <c r="B41" s="177" t="s">
        <v>197</v>
      </c>
      <c r="C41" s="324" t="s">
        <v>205</v>
      </c>
      <c r="D41" s="185">
        <v>0.22</v>
      </c>
      <c r="E41" s="177" t="s">
        <v>24</v>
      </c>
      <c r="F41" s="323">
        <v>1</v>
      </c>
      <c r="G41" s="323" t="s">
        <v>204</v>
      </c>
      <c r="H41" s="323">
        <v>2</v>
      </c>
      <c r="I41" s="185">
        <f t="shared" si="1"/>
        <v>0.44</v>
      </c>
      <c r="J41" s="321"/>
      <c r="K41" s="321"/>
      <c r="L41" s="321"/>
      <c r="M41" s="321"/>
      <c r="N41" s="321"/>
      <c r="O41" s="325"/>
    </row>
    <row r="42" spans="1:15" s="298" customFormat="1" x14ac:dyDescent="0.25">
      <c r="A42" s="305">
        <v>130</v>
      </c>
      <c r="B42" s="177" t="s">
        <v>131</v>
      </c>
      <c r="C42" s="326" t="s">
        <v>203</v>
      </c>
      <c r="D42" s="185">
        <v>0.02</v>
      </c>
      <c r="E42" s="305" t="s">
        <v>133</v>
      </c>
      <c r="F42" s="323">
        <v>4.01</v>
      </c>
      <c r="G42" s="323" t="s">
        <v>200</v>
      </c>
      <c r="H42" s="323">
        <v>3</v>
      </c>
      <c r="I42" s="185">
        <f t="shared" si="1"/>
        <v>0.24059999999999998</v>
      </c>
      <c r="J42" s="301"/>
      <c r="K42" s="301"/>
      <c r="L42" s="301"/>
      <c r="M42" s="301"/>
      <c r="N42" s="301"/>
      <c r="O42" s="325"/>
    </row>
    <row r="43" spans="1:15" s="298" customFormat="1" x14ac:dyDescent="0.25">
      <c r="A43" s="305">
        <v>140</v>
      </c>
      <c r="B43" s="263" t="s">
        <v>113</v>
      </c>
      <c r="C43" s="326" t="s">
        <v>202</v>
      </c>
      <c r="D43" s="185">
        <v>0.02</v>
      </c>
      <c r="E43" s="305" t="s">
        <v>133</v>
      </c>
      <c r="F43" s="323">
        <v>4.01</v>
      </c>
      <c r="G43" s="323" t="s">
        <v>200</v>
      </c>
      <c r="H43" s="323">
        <v>3</v>
      </c>
      <c r="I43" s="185">
        <f t="shared" si="1"/>
        <v>0.24059999999999998</v>
      </c>
      <c r="J43" s="321"/>
      <c r="K43" s="321"/>
      <c r="L43" s="321"/>
      <c r="M43" s="321"/>
      <c r="N43" s="321"/>
      <c r="O43" s="325"/>
    </row>
    <row r="44" spans="1:15" s="298" customFormat="1" x14ac:dyDescent="0.25">
      <c r="A44" s="305">
        <v>150</v>
      </c>
      <c r="B44" s="177" t="s">
        <v>197</v>
      </c>
      <c r="C44" s="326" t="s">
        <v>201</v>
      </c>
      <c r="D44" s="185">
        <v>0.3</v>
      </c>
      <c r="E44" s="177" t="s">
        <v>24</v>
      </c>
      <c r="F44" s="323">
        <v>1</v>
      </c>
      <c r="G44" s="323" t="s">
        <v>200</v>
      </c>
      <c r="H44" s="323">
        <v>3</v>
      </c>
      <c r="I44" s="185">
        <f t="shared" si="1"/>
        <v>0.89999999999999991</v>
      </c>
      <c r="J44" s="321"/>
      <c r="K44" s="321"/>
      <c r="L44" s="321"/>
      <c r="M44" s="321"/>
      <c r="N44" s="321"/>
      <c r="O44" s="325"/>
    </row>
    <row r="45" spans="1:15" s="298" customFormat="1" x14ac:dyDescent="0.25">
      <c r="A45" s="305">
        <v>160</v>
      </c>
      <c r="B45" s="305" t="s">
        <v>86</v>
      </c>
      <c r="C45" s="326" t="s">
        <v>199</v>
      </c>
      <c r="D45" s="185">
        <v>0.15</v>
      </c>
      <c r="E45" s="305" t="s">
        <v>133</v>
      </c>
      <c r="F45" s="323">
        <v>22</v>
      </c>
      <c r="G45" s="323"/>
      <c r="H45" s="322"/>
      <c r="I45" s="185">
        <f t="shared" si="1"/>
        <v>3.3</v>
      </c>
      <c r="J45" s="321"/>
      <c r="K45" s="321"/>
      <c r="L45" s="321"/>
      <c r="M45" s="321"/>
      <c r="N45" s="321"/>
      <c r="O45" s="325"/>
    </row>
    <row r="46" spans="1:15" s="298" customFormat="1" x14ac:dyDescent="0.25">
      <c r="A46" s="305">
        <v>170</v>
      </c>
      <c r="B46" s="177" t="s">
        <v>74</v>
      </c>
      <c r="C46" s="324" t="s">
        <v>198</v>
      </c>
      <c r="D46" s="185">
        <v>5.25</v>
      </c>
      <c r="E46" s="177" t="s">
        <v>156</v>
      </c>
      <c r="F46" s="323">
        <v>0.01</v>
      </c>
      <c r="G46" s="323"/>
      <c r="H46" s="322"/>
      <c r="I46" s="185">
        <f t="shared" si="1"/>
        <v>5.2499999999999998E-2</v>
      </c>
      <c r="J46" s="321"/>
      <c r="K46" s="321"/>
      <c r="L46" s="321"/>
      <c r="M46" s="327"/>
      <c r="N46" s="321"/>
      <c r="O46" s="325"/>
    </row>
    <row r="47" spans="1:15" s="298" customFormat="1" x14ac:dyDescent="0.25">
      <c r="A47" s="305">
        <v>180</v>
      </c>
      <c r="B47" s="305" t="s">
        <v>197</v>
      </c>
      <c r="C47" s="326" t="s">
        <v>196</v>
      </c>
      <c r="D47" s="185">
        <v>0.14000000000000001</v>
      </c>
      <c r="E47" s="305" t="s">
        <v>24</v>
      </c>
      <c r="F47" s="323">
        <v>1</v>
      </c>
      <c r="G47" s="323"/>
      <c r="H47" s="322"/>
      <c r="I47" s="185">
        <f t="shared" si="1"/>
        <v>0.14000000000000001</v>
      </c>
      <c r="J47" s="321"/>
      <c r="K47" s="321"/>
      <c r="L47" s="321"/>
      <c r="M47" s="321"/>
      <c r="N47" s="321"/>
      <c r="O47" s="325"/>
    </row>
    <row r="48" spans="1:15" s="298" customFormat="1" x14ac:dyDescent="0.25">
      <c r="A48" s="305">
        <v>190</v>
      </c>
      <c r="B48" s="177" t="s">
        <v>194</v>
      </c>
      <c r="C48" s="324" t="s">
        <v>195</v>
      </c>
      <c r="D48" s="185">
        <v>0.13</v>
      </c>
      <c r="E48" s="177" t="s">
        <v>24</v>
      </c>
      <c r="F48" s="323">
        <v>4</v>
      </c>
      <c r="G48" s="323"/>
      <c r="H48" s="322"/>
      <c r="I48" s="185">
        <f t="shared" si="1"/>
        <v>0.52</v>
      </c>
      <c r="J48" s="321"/>
      <c r="K48" s="321"/>
      <c r="L48" s="321"/>
      <c r="M48" s="321"/>
      <c r="N48" s="321"/>
      <c r="O48" s="325"/>
    </row>
    <row r="49" spans="1:15" s="298" customFormat="1" x14ac:dyDescent="0.25">
      <c r="A49" s="305">
        <v>200</v>
      </c>
      <c r="B49" s="177" t="s">
        <v>194</v>
      </c>
      <c r="C49" s="324" t="s">
        <v>193</v>
      </c>
      <c r="D49" s="185">
        <v>0.13</v>
      </c>
      <c r="E49" s="177" t="s">
        <v>24</v>
      </c>
      <c r="F49" s="323">
        <v>8</v>
      </c>
      <c r="G49" s="323"/>
      <c r="H49" s="322"/>
      <c r="I49" s="185">
        <f t="shared" si="1"/>
        <v>1.04</v>
      </c>
      <c r="J49" s="321"/>
      <c r="K49" s="321"/>
      <c r="L49" s="321"/>
      <c r="M49" s="321"/>
      <c r="N49" s="321"/>
      <c r="O49" s="325"/>
    </row>
    <row r="50" spans="1:15" s="298" customFormat="1" x14ac:dyDescent="0.25">
      <c r="A50" s="305">
        <v>210</v>
      </c>
      <c r="B50" s="305" t="s">
        <v>159</v>
      </c>
      <c r="C50" s="326" t="s">
        <v>192</v>
      </c>
      <c r="D50" s="185">
        <v>0.13</v>
      </c>
      <c r="E50" s="305" t="s">
        <v>24</v>
      </c>
      <c r="F50" s="323">
        <v>2</v>
      </c>
      <c r="G50" s="323"/>
      <c r="H50" s="322"/>
      <c r="I50" s="185">
        <f t="shared" si="1"/>
        <v>0.26</v>
      </c>
      <c r="J50" s="321"/>
      <c r="K50" s="321"/>
      <c r="L50" s="321"/>
      <c r="M50" s="321"/>
      <c r="N50" s="321"/>
      <c r="O50" s="325"/>
    </row>
    <row r="51" spans="1:15" s="298" customFormat="1" x14ac:dyDescent="0.25">
      <c r="A51" s="305">
        <v>220</v>
      </c>
      <c r="B51" s="177" t="s">
        <v>191</v>
      </c>
      <c r="C51" s="324" t="s">
        <v>190</v>
      </c>
      <c r="D51" s="185">
        <v>0.25</v>
      </c>
      <c r="E51" s="177" t="s">
        <v>24</v>
      </c>
      <c r="F51" s="323">
        <v>2</v>
      </c>
      <c r="G51" s="323"/>
      <c r="H51" s="322"/>
      <c r="I51" s="185">
        <f t="shared" si="1"/>
        <v>0.5</v>
      </c>
      <c r="J51" s="321"/>
      <c r="K51" s="321"/>
      <c r="L51" s="321"/>
      <c r="M51" s="321"/>
      <c r="N51" s="321"/>
      <c r="O51" s="320"/>
    </row>
    <row r="52" spans="1:15" x14ac:dyDescent="0.25">
      <c r="A52" s="657"/>
      <c r="B52" s="656"/>
      <c r="C52" s="656"/>
      <c r="D52" s="656"/>
      <c r="E52" s="656"/>
      <c r="F52" s="656"/>
      <c r="G52" s="656"/>
      <c r="H52" s="655" t="s">
        <v>20</v>
      </c>
      <c r="I52" s="654">
        <f>SUM(I30:I51)</f>
        <v>16.033700000000003</v>
      </c>
      <c r="J52" s="648"/>
      <c r="K52" s="648"/>
      <c r="L52" s="648"/>
      <c r="M52" s="648"/>
      <c r="N52" s="648"/>
      <c r="O52" s="652"/>
    </row>
    <row r="53" spans="1:15" x14ac:dyDescent="0.25">
      <c r="A53" s="653"/>
      <c r="B53" s="648"/>
      <c r="C53" s="648"/>
      <c r="D53" s="648"/>
      <c r="E53" s="648"/>
      <c r="F53" s="648"/>
      <c r="G53" s="648"/>
      <c r="H53" s="648"/>
      <c r="I53" s="648"/>
      <c r="J53" s="648"/>
      <c r="K53" s="648"/>
      <c r="L53" s="648"/>
      <c r="M53" s="648"/>
      <c r="N53" s="648"/>
      <c r="O53" s="652"/>
    </row>
    <row r="54" spans="1:15" x14ac:dyDescent="0.25">
      <c r="A54" s="669" t="s">
        <v>16</v>
      </c>
      <c r="B54" s="669" t="s">
        <v>30</v>
      </c>
      <c r="C54" s="669" t="s">
        <v>22</v>
      </c>
      <c r="D54" s="669" t="s">
        <v>23</v>
      </c>
      <c r="E54" s="669" t="s">
        <v>31</v>
      </c>
      <c r="F54" s="669" t="s">
        <v>32</v>
      </c>
      <c r="G54" s="669" t="s">
        <v>33</v>
      </c>
      <c r="H54" s="669" t="s">
        <v>34</v>
      </c>
      <c r="I54" s="669" t="s">
        <v>19</v>
      </c>
      <c r="J54" s="669" t="s">
        <v>20</v>
      </c>
      <c r="K54" s="648"/>
      <c r="L54" s="648"/>
      <c r="M54" s="648"/>
      <c r="N54" s="648"/>
      <c r="O54" s="652"/>
    </row>
    <row r="55" spans="1:15" x14ac:dyDescent="0.25">
      <c r="A55" s="662">
        <v>10</v>
      </c>
      <c r="B55" s="662" t="s">
        <v>189</v>
      </c>
      <c r="C55" s="662" t="s">
        <v>188</v>
      </c>
      <c r="D55" s="668">
        <f>0.8/105154*E55^2*G55*SQRT(G55)+(0.003*EXP(0.319*E55))</f>
        <v>0.16167651505774214</v>
      </c>
      <c r="E55" s="662">
        <v>8</v>
      </c>
      <c r="F55" s="663" t="s">
        <v>35</v>
      </c>
      <c r="G55" s="667">
        <v>40</v>
      </c>
      <c r="H55" s="661" t="s">
        <v>35</v>
      </c>
      <c r="I55" s="666">
        <v>2</v>
      </c>
      <c r="J55" s="665">
        <f>D55*I55</f>
        <v>0.32335303011548427</v>
      </c>
      <c r="K55" s="648"/>
      <c r="L55" s="648"/>
      <c r="M55" s="648"/>
      <c r="N55" s="648"/>
      <c r="O55" s="652"/>
    </row>
    <row r="56" spans="1:15" x14ac:dyDescent="0.25">
      <c r="A56" s="662">
        <v>20</v>
      </c>
      <c r="B56" s="662" t="s">
        <v>187</v>
      </c>
      <c r="C56" s="662" t="s">
        <v>186</v>
      </c>
      <c r="D56" s="664">
        <f>(0.009*EXP(0.2*E56))</f>
        <v>4.4577291819556032E-2</v>
      </c>
      <c r="E56" s="662">
        <v>8</v>
      </c>
      <c r="F56" s="663" t="s">
        <v>35</v>
      </c>
      <c r="G56" s="662"/>
      <c r="H56" s="661"/>
      <c r="I56" s="660">
        <v>2</v>
      </c>
      <c r="J56" s="659">
        <f>D56*I56</f>
        <v>8.9154583639112064E-2</v>
      </c>
      <c r="K56" s="648"/>
      <c r="L56" s="648"/>
      <c r="M56" s="648"/>
      <c r="N56" s="648"/>
      <c r="O56" s="652"/>
    </row>
    <row r="57" spans="1:15" x14ac:dyDescent="0.25">
      <c r="A57" s="662">
        <v>30</v>
      </c>
      <c r="B57" s="662" t="s">
        <v>185</v>
      </c>
      <c r="C57" s="662" t="s">
        <v>184</v>
      </c>
      <c r="D57" s="662">
        <v>0.01</v>
      </c>
      <c r="E57" s="662">
        <v>8</v>
      </c>
      <c r="F57" s="663" t="s">
        <v>35</v>
      </c>
      <c r="G57" s="662"/>
      <c r="H57" s="661"/>
      <c r="I57" s="660">
        <v>4</v>
      </c>
      <c r="J57" s="659">
        <f>D57*I57</f>
        <v>0.04</v>
      </c>
      <c r="K57" s="658"/>
      <c r="L57" s="658"/>
      <c r="M57" s="658"/>
      <c r="N57" s="658"/>
      <c r="O57" s="652"/>
    </row>
    <row r="58" spans="1:15" x14ac:dyDescent="0.25">
      <c r="A58" s="657"/>
      <c r="B58" s="656"/>
      <c r="C58" s="656"/>
      <c r="D58" s="656"/>
      <c r="E58" s="656"/>
      <c r="F58" s="656"/>
      <c r="G58" s="656"/>
      <c r="H58" s="656"/>
      <c r="I58" s="655" t="s">
        <v>20</v>
      </c>
      <c r="J58" s="654">
        <f>SUM(J55:J57)</f>
        <v>0.45250761375459631</v>
      </c>
      <c r="K58" s="648"/>
      <c r="L58" s="648"/>
      <c r="M58" s="648"/>
      <c r="N58" s="648"/>
      <c r="O58" s="652"/>
    </row>
    <row r="59" spans="1:15" x14ac:dyDescent="0.25">
      <c r="A59" s="653"/>
      <c r="B59" s="648"/>
      <c r="C59" s="648"/>
      <c r="D59" s="648"/>
      <c r="E59" s="648"/>
      <c r="F59" s="648"/>
      <c r="G59" s="648"/>
      <c r="H59" s="648"/>
      <c r="I59" s="648"/>
      <c r="J59" s="648"/>
      <c r="K59" s="648"/>
      <c r="L59" s="648"/>
      <c r="M59" s="648"/>
      <c r="N59" s="648"/>
      <c r="O59" s="652"/>
    </row>
    <row r="60" spans="1:15" s="298" customFormat="1" x14ac:dyDescent="0.25">
      <c r="A60" s="797" t="s">
        <v>16</v>
      </c>
      <c r="B60" s="306" t="s">
        <v>70</v>
      </c>
      <c r="C60" s="306" t="s">
        <v>22</v>
      </c>
      <c r="D60" s="306" t="s">
        <v>23</v>
      </c>
      <c r="E60" s="306" t="s">
        <v>24</v>
      </c>
      <c r="F60" s="306" t="s">
        <v>19</v>
      </c>
      <c r="G60" s="306" t="s">
        <v>69</v>
      </c>
      <c r="H60" s="306" t="s">
        <v>68</v>
      </c>
      <c r="I60" s="306" t="s">
        <v>20</v>
      </c>
      <c r="J60" s="301"/>
      <c r="K60" s="300"/>
      <c r="L60" s="300"/>
      <c r="M60" s="300"/>
      <c r="N60" s="300"/>
      <c r="O60" s="299"/>
    </row>
    <row r="61" spans="1:15" s="298" customFormat="1" x14ac:dyDescent="0.25">
      <c r="A61" s="556">
        <v>10</v>
      </c>
      <c r="B61" s="556" t="s">
        <v>67</v>
      </c>
      <c r="C61" s="556" t="s">
        <v>183</v>
      </c>
      <c r="D61" s="557">
        <v>500</v>
      </c>
      <c r="E61" s="556" t="s">
        <v>66</v>
      </c>
      <c r="F61" s="556">
        <f>8</f>
        <v>8</v>
      </c>
      <c r="G61" s="556">
        <v>3000</v>
      </c>
      <c r="H61" s="556">
        <v>1</v>
      </c>
      <c r="I61" s="535">
        <f>D61*F61/G61*H61</f>
        <v>1.3333333333333333</v>
      </c>
      <c r="J61" s="301"/>
      <c r="K61" s="300"/>
      <c r="L61" s="300"/>
      <c r="M61" s="300"/>
      <c r="N61" s="300"/>
      <c r="O61" s="299"/>
    </row>
    <row r="62" spans="1:15" s="298" customFormat="1" x14ac:dyDescent="0.25">
      <c r="A62" s="304"/>
      <c r="B62" s="301"/>
      <c r="C62" s="301"/>
      <c r="D62" s="301"/>
      <c r="E62" s="301"/>
      <c r="F62" s="301"/>
      <c r="G62" s="301"/>
      <c r="H62" s="303" t="s">
        <v>20</v>
      </c>
      <c r="I62" s="302">
        <f>SUM(I61:I61)</f>
        <v>1.3333333333333333</v>
      </c>
      <c r="J62" s="301"/>
      <c r="K62" s="300"/>
      <c r="L62" s="300"/>
      <c r="M62" s="300"/>
      <c r="N62" s="300"/>
      <c r="O62" s="299"/>
    </row>
    <row r="63" spans="1:15" ht="15.75" thickBot="1" x14ac:dyDescent="0.3">
      <c r="A63" s="651"/>
      <c r="B63" s="650"/>
      <c r="C63" s="650"/>
      <c r="D63" s="650"/>
      <c r="E63" s="650"/>
      <c r="F63" s="650"/>
      <c r="G63" s="650"/>
      <c r="H63" s="650"/>
      <c r="I63" s="650"/>
      <c r="J63" s="650"/>
      <c r="K63" s="650"/>
      <c r="L63" s="650"/>
      <c r="M63" s="650"/>
      <c r="N63" s="650"/>
      <c r="O63" s="649"/>
    </row>
    <row r="64" spans="1:15" x14ac:dyDescent="0.25">
      <c r="A64" s="648"/>
      <c r="B64" s="648"/>
      <c r="C64" s="648"/>
      <c r="D64" s="648"/>
      <c r="E64" s="648"/>
      <c r="F64" s="648"/>
      <c r="G64" s="648"/>
      <c r="H64" s="648"/>
      <c r="I64" s="648"/>
      <c r="J64" s="648"/>
      <c r="K64" s="648"/>
      <c r="L64" s="648"/>
      <c r="M64" s="648"/>
      <c r="N64" s="648"/>
    </row>
  </sheetData>
  <hyperlinks>
    <hyperlink ref="E2" location="SU_A0400_BOM" display="Back to BOM"/>
    <hyperlink ref="B10" location="SU_04001" display="SU_04001"/>
    <hyperlink ref="B11:B13" location="BR_01001" display="BR_01001"/>
    <hyperlink ref="B14" location="SU_04005" display="SU_04005"/>
    <hyperlink ref="B16" location="SU_04007" display="SU_04007"/>
    <hyperlink ref="B11" location="SU_04002" display="SU_04002"/>
    <hyperlink ref="B12" location="SU_04003" display="SU_04003"/>
    <hyperlink ref="B13" location="SU_04004" display="SU_04004"/>
    <hyperlink ref="B15" location="SU_04006" display="SU_04006"/>
    <hyperlink ref="B17" location="SU_04008" display="SU_04008"/>
    <hyperlink ref="B18" location="SU_04009" display="SU_04009"/>
    <hyperlink ref="B19" location="SU_04010" display="SU_04010"/>
    <hyperlink ref="B20" location="SU_04011" display="SU_04011"/>
  </hyperlinks>
  <pageMargins left="0.31496062992125984" right="0.31496062992125984" top="0.31496062992125984" bottom="0.39370078740157483" header="0.51181102362204722" footer="0.31496062992125984"/>
  <pageSetup paperSize="9" scale="61" firstPageNumber="0" fitToHeight="99" orientation="landscape" horizontalDpi="1200" verticalDpi="1200" r:id="rId1"/>
  <rowBreaks count="1" manualBreakCount="1">
    <brk id="63" max="16383" man="1"/>
  </row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647"/>
    <col min="2" max="2" width="15.85546875" style="647" customWidth="1"/>
    <col min="3" max="3" width="24.5703125" style="647" customWidth="1"/>
    <col min="4" max="6" width="9.140625" style="647"/>
    <col min="7" max="7" width="11.5703125" style="647" customWidth="1"/>
    <col min="8" max="9" width="9.140625" style="647"/>
    <col min="10" max="10" width="12.5703125" style="647" customWidth="1"/>
    <col min="11" max="14" width="9.140625" style="647"/>
    <col min="15" max="15" width="3.140625" style="647" customWidth="1"/>
    <col min="16" max="17" width="9.140625" style="647"/>
    <col min="18" max="19" width="16.28515625" style="647" bestFit="1" customWidth="1"/>
    <col min="20" max="16384" width="9.140625" style="647"/>
  </cols>
  <sheetData>
    <row r="1" spans="1:19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9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SU_04001_m+SU_04001_p</f>
        <v>8.9540000000000006</v>
      </c>
      <c r="O2" s="652"/>
    </row>
    <row r="3" spans="1:19" ht="14.45" x14ac:dyDescent="0.3">
      <c r="A3" s="719" t="s">
        <v>5</v>
      </c>
      <c r="B3" s="684" t="str">
        <f>'SU A0400'!B3</f>
        <v>Suspension &amp; Shocks</v>
      </c>
      <c r="C3" s="648"/>
      <c r="D3" s="719" t="s">
        <v>8</v>
      </c>
      <c r="E3" s="60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1</v>
      </c>
      <c r="O3" s="652"/>
    </row>
    <row r="4" spans="1:19" ht="14.45" x14ac:dyDescent="0.3">
      <c r="A4" s="719" t="s">
        <v>7</v>
      </c>
      <c r="B4" s="58" t="s">
        <v>318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9" ht="14.45" x14ac:dyDescent="0.3">
      <c r="A5" s="719" t="s">
        <v>17</v>
      </c>
      <c r="B5" s="686" t="s">
        <v>321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8.9540000000000006</v>
      </c>
      <c r="O5" s="652"/>
    </row>
    <row r="6" spans="1:19" ht="14.45" x14ac:dyDescent="0.3">
      <c r="A6" s="719" t="s">
        <v>9</v>
      </c>
      <c r="B6" s="721" t="s">
        <v>320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9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9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9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9" ht="14.45" x14ac:dyDescent="0.3">
      <c r="A10" s="716" t="s">
        <v>16</v>
      </c>
      <c r="B10" s="715" t="s">
        <v>38</v>
      </c>
      <c r="C10" s="715" t="s">
        <v>22</v>
      </c>
      <c r="D10" s="715" t="s">
        <v>23</v>
      </c>
      <c r="E10" s="715" t="s">
        <v>31</v>
      </c>
      <c r="F10" s="705" t="s">
        <v>32</v>
      </c>
      <c r="G10" s="705" t="s">
        <v>33</v>
      </c>
      <c r="H10" s="705" t="s">
        <v>34</v>
      </c>
      <c r="I10" s="705" t="s">
        <v>39</v>
      </c>
      <c r="J10" s="705" t="s">
        <v>40</v>
      </c>
      <c r="K10" s="705" t="s">
        <v>41</v>
      </c>
      <c r="L10" s="705" t="s">
        <v>42</v>
      </c>
      <c r="M10" s="705" t="s">
        <v>19</v>
      </c>
      <c r="N10" s="705" t="s">
        <v>20</v>
      </c>
      <c r="O10" s="652"/>
    </row>
    <row r="11" spans="1:19" s="113" customFormat="1" ht="17.45" customHeight="1" x14ac:dyDescent="0.3">
      <c r="A11" s="806">
        <v>10</v>
      </c>
      <c r="B11" s="809" t="s">
        <v>146</v>
      </c>
      <c r="C11" s="806" t="s">
        <v>269</v>
      </c>
      <c r="D11" s="808">
        <v>4.2</v>
      </c>
      <c r="E11" s="807"/>
      <c r="F11" s="806"/>
      <c r="G11" s="806"/>
      <c r="H11" s="805"/>
      <c r="I11" s="539" t="s">
        <v>319</v>
      </c>
      <c r="J11" s="65">
        <f>65*42/1000000</f>
        <v>2.7299999999999998E-3</v>
      </c>
      <c r="K11" s="65">
        <v>1.6E-2</v>
      </c>
      <c r="L11" s="147">
        <v>2712</v>
      </c>
      <c r="M11" s="740">
        <v>1</v>
      </c>
      <c r="N11" s="708">
        <f>D11*M11</f>
        <v>4.2</v>
      </c>
      <c r="O11" s="112"/>
    </row>
    <row r="12" spans="1:19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07" t="s">
        <v>20</v>
      </c>
      <c r="N12" s="691">
        <f>SUM(N11)</f>
        <v>4.2</v>
      </c>
      <c r="O12" s="652"/>
    </row>
    <row r="13" spans="1:19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  <c r="S13" s="704"/>
    </row>
    <row r="14" spans="1:19" ht="14.45" x14ac:dyDescent="0.3">
      <c r="A14" s="706" t="s">
        <v>16</v>
      </c>
      <c r="B14" s="705" t="s">
        <v>21</v>
      </c>
      <c r="C14" s="705" t="s">
        <v>22</v>
      </c>
      <c r="D14" s="705" t="s">
        <v>23</v>
      </c>
      <c r="E14" s="705" t="s">
        <v>24</v>
      </c>
      <c r="F14" s="705" t="s">
        <v>19</v>
      </c>
      <c r="G14" s="705" t="s">
        <v>25</v>
      </c>
      <c r="H14" s="705" t="s">
        <v>26</v>
      </c>
      <c r="I14" s="705" t="s">
        <v>20</v>
      </c>
      <c r="J14" s="656"/>
      <c r="K14" s="656"/>
      <c r="L14" s="656"/>
      <c r="M14" s="656"/>
      <c r="N14" s="656"/>
      <c r="O14" s="652"/>
      <c r="R14" s="704"/>
    </row>
    <row r="15" spans="1:19" s="589" customFormat="1" ht="30.6" customHeight="1" x14ac:dyDescent="0.3">
      <c r="A15" s="804">
        <v>10</v>
      </c>
      <c r="B15" s="527" t="s">
        <v>81</v>
      </c>
      <c r="C15" s="802"/>
      <c r="D15" s="803">
        <v>1.3</v>
      </c>
      <c r="E15" s="527" t="s">
        <v>24</v>
      </c>
      <c r="F15" s="802">
        <v>1</v>
      </c>
      <c r="G15" s="802"/>
      <c r="H15" s="802"/>
      <c r="I15" s="801">
        <f t="shared" ref="I15:I22" si="0">IF(H15="",D15*F15,D15*F15*H15)</f>
        <v>1.3</v>
      </c>
      <c r="J15" s="217"/>
      <c r="K15" s="217"/>
      <c r="L15" s="217"/>
      <c r="M15" s="217"/>
      <c r="N15" s="217"/>
      <c r="O15" s="596"/>
    </row>
    <row r="16" spans="1:19" s="589" customFormat="1" ht="29.45" customHeight="1" x14ac:dyDescent="0.3">
      <c r="A16" s="540">
        <v>20</v>
      </c>
      <c r="B16" s="527" t="s">
        <v>80</v>
      </c>
      <c r="C16" s="800" t="s">
        <v>267</v>
      </c>
      <c r="D16" s="548">
        <v>0.04</v>
      </c>
      <c r="E16" s="540" t="s">
        <v>79</v>
      </c>
      <c r="F16" s="799">
        <v>27</v>
      </c>
      <c r="G16" s="527" t="s">
        <v>104</v>
      </c>
      <c r="H16" s="798">
        <v>1</v>
      </c>
      <c r="I16" s="528">
        <f t="shared" si="0"/>
        <v>1.08</v>
      </c>
      <c r="J16" s="219"/>
      <c r="K16" s="219"/>
      <c r="L16" s="219"/>
      <c r="M16" s="219"/>
      <c r="N16" s="219"/>
      <c r="O16" s="590"/>
    </row>
    <row r="17" spans="1:15" s="589" customFormat="1" ht="16.149999999999999" customHeight="1" x14ac:dyDescent="0.3">
      <c r="A17" s="804">
        <v>30</v>
      </c>
      <c r="B17" s="527" t="s">
        <v>87</v>
      </c>
      <c r="C17" s="802"/>
      <c r="D17" s="803">
        <v>0.65</v>
      </c>
      <c r="E17" s="527" t="s">
        <v>24</v>
      </c>
      <c r="F17" s="802">
        <v>1</v>
      </c>
      <c r="G17" s="802"/>
      <c r="H17" s="802"/>
      <c r="I17" s="801">
        <f t="shared" si="0"/>
        <v>0.65</v>
      </c>
      <c r="J17" s="220"/>
      <c r="K17" s="220"/>
      <c r="L17" s="220"/>
      <c r="M17" s="220"/>
      <c r="N17" s="220"/>
      <c r="O17" s="595"/>
    </row>
    <row r="18" spans="1:15" s="589" customFormat="1" ht="27" customHeight="1" x14ac:dyDescent="0.3">
      <c r="A18" s="540">
        <v>40</v>
      </c>
      <c r="B18" s="527" t="s">
        <v>80</v>
      </c>
      <c r="C18" s="800" t="s">
        <v>226</v>
      </c>
      <c r="D18" s="548">
        <v>0.04</v>
      </c>
      <c r="E18" s="540" t="s">
        <v>79</v>
      </c>
      <c r="F18" s="799">
        <v>2.2999999999999998</v>
      </c>
      <c r="G18" s="527" t="s">
        <v>104</v>
      </c>
      <c r="H18" s="798">
        <v>1</v>
      </c>
      <c r="I18" s="528">
        <f t="shared" si="0"/>
        <v>9.1999999999999998E-2</v>
      </c>
      <c r="J18" s="219"/>
      <c r="K18" s="219"/>
      <c r="L18" s="219"/>
      <c r="M18" s="219"/>
      <c r="N18" s="219"/>
      <c r="O18" s="590"/>
    </row>
    <row r="19" spans="1:15" s="589" customFormat="1" ht="15.6" customHeight="1" x14ac:dyDescent="0.25">
      <c r="A19" s="804">
        <v>50</v>
      </c>
      <c r="B19" s="527" t="s">
        <v>87</v>
      </c>
      <c r="C19" s="802"/>
      <c r="D19" s="803">
        <v>0.65</v>
      </c>
      <c r="E19" s="527" t="s">
        <v>24</v>
      </c>
      <c r="F19" s="802">
        <v>1</v>
      </c>
      <c r="G19" s="802"/>
      <c r="H19" s="802"/>
      <c r="I19" s="801">
        <f t="shared" si="0"/>
        <v>0.65</v>
      </c>
      <c r="J19" s="219"/>
      <c r="K19" s="219"/>
      <c r="L19" s="219"/>
      <c r="M19" s="219"/>
      <c r="N19" s="219"/>
      <c r="O19" s="590"/>
    </row>
    <row r="20" spans="1:15" s="589" customFormat="1" ht="28.15" customHeight="1" x14ac:dyDescent="0.25">
      <c r="A20" s="540">
        <v>60</v>
      </c>
      <c r="B20" s="527" t="s">
        <v>80</v>
      </c>
      <c r="C20" s="800" t="s">
        <v>225</v>
      </c>
      <c r="D20" s="548">
        <v>0.04</v>
      </c>
      <c r="E20" s="540" t="s">
        <v>79</v>
      </c>
      <c r="F20" s="799">
        <v>2.2999999999999998</v>
      </c>
      <c r="G20" s="527" t="s">
        <v>104</v>
      </c>
      <c r="H20" s="798">
        <v>1</v>
      </c>
      <c r="I20" s="528">
        <f t="shared" si="0"/>
        <v>9.1999999999999998E-2</v>
      </c>
      <c r="J20" s="219"/>
      <c r="K20" s="219"/>
      <c r="L20" s="219"/>
      <c r="M20" s="219"/>
      <c r="N20" s="219"/>
      <c r="O20" s="590"/>
    </row>
    <row r="21" spans="1:15" s="589" customFormat="1" ht="28.9" customHeight="1" x14ac:dyDescent="0.25">
      <c r="A21" s="804">
        <v>70</v>
      </c>
      <c r="B21" s="527" t="s">
        <v>87</v>
      </c>
      <c r="C21" s="802"/>
      <c r="D21" s="803">
        <v>0.65</v>
      </c>
      <c r="E21" s="527" t="s">
        <v>24</v>
      </c>
      <c r="F21" s="802">
        <v>1</v>
      </c>
      <c r="G21" s="802"/>
      <c r="H21" s="802"/>
      <c r="I21" s="801">
        <f t="shared" si="0"/>
        <v>0.65</v>
      </c>
      <c r="J21" s="213"/>
      <c r="K21" s="213"/>
      <c r="L21" s="213"/>
      <c r="M21" s="213"/>
      <c r="N21" s="213"/>
      <c r="O21" s="590"/>
    </row>
    <row r="22" spans="1:15" s="589" customFormat="1" ht="27.6" customHeight="1" x14ac:dyDescent="0.25">
      <c r="A22" s="540">
        <v>80</v>
      </c>
      <c r="B22" s="527" t="s">
        <v>80</v>
      </c>
      <c r="C22" s="800" t="s">
        <v>266</v>
      </c>
      <c r="D22" s="548">
        <v>0.04</v>
      </c>
      <c r="E22" s="540" t="s">
        <v>79</v>
      </c>
      <c r="F22" s="799">
        <v>6</v>
      </c>
      <c r="G22" s="527" t="s">
        <v>104</v>
      </c>
      <c r="H22" s="798">
        <v>1</v>
      </c>
      <c r="I22" s="528">
        <f t="shared" si="0"/>
        <v>0.24</v>
      </c>
      <c r="J22" s="591"/>
      <c r="K22" s="219"/>
      <c r="L22" s="219"/>
      <c r="M22" s="219"/>
      <c r="N22" s="219"/>
      <c r="O22" s="590"/>
    </row>
    <row r="23" spans="1:15" x14ac:dyDescent="0.25">
      <c r="A23" s="657"/>
      <c r="B23" s="656"/>
      <c r="C23" s="656"/>
      <c r="D23" s="656"/>
      <c r="E23" s="656"/>
      <c r="F23" s="656"/>
      <c r="G23" s="656"/>
      <c r="H23" s="692" t="s">
        <v>20</v>
      </c>
      <c r="I23" s="691">
        <f>SUM(I15:I22)</f>
        <v>4.7540000000000004</v>
      </c>
      <c r="J23" s="656"/>
      <c r="K23" s="656"/>
      <c r="L23" s="656"/>
      <c r="M23" s="656"/>
      <c r="N23" s="656"/>
      <c r="O23" s="652"/>
    </row>
    <row r="24" spans="1:15" ht="15.75" thickBot="1" x14ac:dyDescent="0.3">
      <c r="A24" s="651"/>
      <c r="B24" s="650"/>
      <c r="C24" s="650"/>
      <c r="D24" s="650"/>
      <c r="E24" s="650"/>
      <c r="F24" s="650"/>
      <c r="G24" s="650"/>
      <c r="H24" s="650"/>
      <c r="I24" s="650"/>
      <c r="J24" s="650"/>
      <c r="K24" s="650"/>
      <c r="L24" s="650"/>
      <c r="M24" s="650"/>
      <c r="N24" s="650"/>
      <c r="O24" s="649"/>
    </row>
  </sheetData>
  <hyperlinks>
    <hyperlink ref="B4" location="SU_A0400" display="Lower Back A-arm"/>
    <hyperlink ref="E3" location="dSU_04001" display="Drawing"/>
    <hyperlink ref="G2" location="SU_A0400_BOM" display="Back to BOM"/>
  </hyperlinks>
  <pageMargins left="0.31496062992125984" right="0.31496062992125984" top="0.31496062992125984" bottom="0.39370078740157483" header="0.51181102362204722" footer="0.31496062992125984"/>
  <pageSetup paperSize="9" scale="89" firstPageNumber="0" fitToHeight="99" orientation="landscape" horizontalDpi="1200" verticalDpi="1200" r:id="rId1"/>
  <rowBreaks count="2" manualBreakCount="2">
    <brk id="24" max="16383" man="1"/>
    <brk id="58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4" style="647" customWidth="1"/>
    <col min="2" max="16384" width="11.42578125" style="647"/>
  </cols>
  <sheetData>
    <row r="1" spans="1:2" x14ac:dyDescent="0.3">
      <c r="A1" s="647" t="s">
        <v>89</v>
      </c>
      <c r="B1" s="60" t="s">
        <v>322</v>
      </c>
    </row>
  </sheetData>
  <hyperlinks>
    <hyperlink ref="B1" location="SU_04001" display="SU_0400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23.140625" style="647" customWidth="1"/>
    <col min="3" max="6" width="11.42578125" style="647"/>
    <col min="7" max="7" width="13.28515625" style="647" customWidth="1"/>
    <col min="8" max="8" width="11.42578125" style="647"/>
    <col min="9" max="9" width="21.42578125" style="647" customWidth="1"/>
    <col min="10" max="17" width="11.42578125" style="647"/>
    <col min="18" max="18" width="13.85546875" style="647" bestFit="1" customWidth="1"/>
    <col min="19" max="16384" width="11.42578125" style="647"/>
  </cols>
  <sheetData>
    <row r="1" spans="1:19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9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N12+I21</f>
        <v>1.8728805440000003</v>
      </c>
      <c r="O2" s="652"/>
    </row>
    <row r="3" spans="1:19" ht="14.45" x14ac:dyDescent="0.3">
      <c r="A3" s="719" t="s">
        <v>5</v>
      </c>
      <c r="B3" s="684" t="str">
        <f>'SU A0400'!B3</f>
        <v>Suspension &amp; Shocks</v>
      </c>
      <c r="C3" s="648"/>
      <c r="D3" s="719" t="s">
        <v>8</v>
      </c>
      <c r="E3" s="60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2</v>
      </c>
      <c r="O3" s="652"/>
    </row>
    <row r="4" spans="1:19" ht="14.45" x14ac:dyDescent="0.3">
      <c r="A4" s="719" t="s">
        <v>7</v>
      </c>
      <c r="B4" s="58" t="s">
        <v>318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9" ht="14.45" x14ac:dyDescent="0.3">
      <c r="A5" s="719" t="s">
        <v>17</v>
      </c>
      <c r="B5" s="71" t="s">
        <v>238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3.7457610880000005</v>
      </c>
      <c r="O5" s="652"/>
    </row>
    <row r="6" spans="1:19" ht="14.45" x14ac:dyDescent="0.3">
      <c r="A6" s="719" t="s">
        <v>9</v>
      </c>
      <c r="B6" s="721" t="s">
        <v>324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9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9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9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9" s="103" customFormat="1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733" t="s">
        <v>32</v>
      </c>
      <c r="G10" s="733" t="s">
        <v>33</v>
      </c>
      <c r="H10" s="733" t="s">
        <v>34</v>
      </c>
      <c r="I10" s="733" t="s">
        <v>39</v>
      </c>
      <c r="J10" s="733" t="s">
        <v>40</v>
      </c>
      <c r="K10" s="733" t="s">
        <v>41</v>
      </c>
      <c r="L10" s="733" t="s">
        <v>42</v>
      </c>
      <c r="M10" s="733" t="s">
        <v>19</v>
      </c>
      <c r="N10" s="733" t="s">
        <v>20</v>
      </c>
      <c r="O10" s="107"/>
    </row>
    <row r="11" spans="1:19" s="103" customFormat="1" ht="14.45" x14ac:dyDescent="0.3">
      <c r="A11" s="374">
        <v>10</v>
      </c>
      <c r="B11" s="354" t="s">
        <v>229</v>
      </c>
      <c r="C11" s="714" t="s">
        <v>99</v>
      </c>
      <c r="D11" s="708">
        <f>4.2</f>
        <v>4.2</v>
      </c>
      <c r="E11" s="735">
        <f>J11*K11*L11</f>
        <v>0.20437632</v>
      </c>
      <c r="F11" s="714" t="s">
        <v>153</v>
      </c>
      <c r="G11" s="714"/>
      <c r="H11" s="712"/>
      <c r="I11" s="734" t="s">
        <v>236</v>
      </c>
      <c r="J11" s="65">
        <f>3.14*20*20/1000000</f>
        <v>1.256E-3</v>
      </c>
      <c r="K11" s="388">
        <v>0.06</v>
      </c>
      <c r="L11" s="147">
        <v>2712</v>
      </c>
      <c r="M11" s="709">
        <v>1</v>
      </c>
      <c r="N11" s="708">
        <f>D11*E11*M11</f>
        <v>0.85838054400000008</v>
      </c>
      <c r="O11" s="112"/>
      <c r="P11" s="113"/>
      <c r="Q11" s="113"/>
      <c r="R11" s="113"/>
      <c r="S11" s="113"/>
    </row>
    <row r="12" spans="1:19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07" t="s">
        <v>20</v>
      </c>
      <c r="N12" s="691">
        <f>SUM(N11:N11)</f>
        <v>0.85838054400000008</v>
      </c>
      <c r="O12" s="652"/>
    </row>
    <row r="13" spans="1:19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  <c r="R13" s="704">
        <f>J11*K11/4</f>
        <v>1.8839999999999999E-5</v>
      </c>
      <c r="S13" s="704"/>
    </row>
    <row r="14" spans="1:19" ht="14.45" x14ac:dyDescent="0.3">
      <c r="A14" s="706" t="s">
        <v>16</v>
      </c>
      <c r="B14" s="705" t="s">
        <v>21</v>
      </c>
      <c r="C14" s="705" t="s">
        <v>22</v>
      </c>
      <c r="D14" s="705" t="s">
        <v>23</v>
      </c>
      <c r="E14" s="705" t="s">
        <v>24</v>
      </c>
      <c r="F14" s="705" t="s">
        <v>19</v>
      </c>
      <c r="G14" s="705" t="s">
        <v>25</v>
      </c>
      <c r="H14" s="705" t="s">
        <v>26</v>
      </c>
      <c r="I14" s="705" t="s">
        <v>20</v>
      </c>
      <c r="J14" s="656"/>
      <c r="K14" s="656"/>
      <c r="L14" s="656"/>
      <c r="M14" s="656"/>
      <c r="N14" s="656"/>
      <c r="O14" s="652"/>
      <c r="R14" s="704">
        <f>R13/2</f>
        <v>9.4199999999999996E-6</v>
      </c>
    </row>
    <row r="15" spans="1:19" s="103" customFormat="1" ht="26.45" customHeight="1" x14ac:dyDescent="0.3">
      <c r="A15" s="730">
        <v>10</v>
      </c>
      <c r="B15" s="724" t="s">
        <v>81</v>
      </c>
      <c r="C15" s="730"/>
      <c r="D15" s="731">
        <v>1.3</v>
      </c>
      <c r="E15" s="724" t="s">
        <v>24</v>
      </c>
      <c r="F15" s="730">
        <v>1</v>
      </c>
      <c r="G15" s="730" t="s">
        <v>233</v>
      </c>
      <c r="H15" s="730">
        <f>1/16</f>
        <v>6.25E-2</v>
      </c>
      <c r="I15" s="729">
        <f t="shared" ref="I15:I20" si="0">IF(H15="",D15*F15,D15*F15*H15)</f>
        <v>8.1250000000000003E-2</v>
      </c>
      <c r="J15" s="122"/>
      <c r="K15" s="122"/>
      <c r="L15" s="122"/>
      <c r="M15" s="122"/>
      <c r="N15" s="122"/>
      <c r="O15" s="123"/>
      <c r="P15" s="124"/>
      <c r="Q15" s="124"/>
      <c r="R15" s="732"/>
      <c r="S15" s="124"/>
    </row>
    <row r="16" spans="1:19" s="103" customFormat="1" ht="28.15" customHeight="1" x14ac:dyDescent="0.3">
      <c r="A16" s="726">
        <v>20</v>
      </c>
      <c r="B16" s="724" t="s">
        <v>80</v>
      </c>
      <c r="C16" s="728" t="s">
        <v>235</v>
      </c>
      <c r="D16" s="727">
        <v>0.04</v>
      </c>
      <c r="E16" s="726" t="s">
        <v>79</v>
      </c>
      <c r="F16" s="725">
        <v>17</v>
      </c>
      <c r="G16" s="724" t="s">
        <v>163</v>
      </c>
      <c r="H16" s="563">
        <v>1</v>
      </c>
      <c r="I16" s="723">
        <f t="shared" si="0"/>
        <v>0.68</v>
      </c>
      <c r="J16" s="105"/>
      <c r="K16" s="105"/>
      <c r="L16" s="105"/>
      <c r="M16" s="105"/>
      <c r="N16" s="105"/>
      <c r="O16" s="107"/>
      <c r="R16" s="364"/>
    </row>
    <row r="17" spans="1:19" s="103" customFormat="1" ht="25.9" customHeight="1" x14ac:dyDescent="0.3">
      <c r="A17" s="730">
        <v>30</v>
      </c>
      <c r="B17" s="724" t="s">
        <v>87</v>
      </c>
      <c r="C17" s="730"/>
      <c r="D17" s="731">
        <v>0.65</v>
      </c>
      <c r="E17" s="724" t="s">
        <v>24</v>
      </c>
      <c r="F17" s="730">
        <v>1</v>
      </c>
      <c r="G17" s="730" t="s">
        <v>233</v>
      </c>
      <c r="H17" s="730">
        <f>1/16</f>
        <v>6.25E-2</v>
      </c>
      <c r="I17" s="729">
        <f t="shared" si="0"/>
        <v>4.0625000000000001E-2</v>
      </c>
      <c r="J17" s="129"/>
      <c r="K17" s="129"/>
      <c r="L17" s="129"/>
      <c r="M17" s="129"/>
      <c r="N17" s="129"/>
      <c r="O17" s="148"/>
      <c r="P17" s="149"/>
      <c r="Q17" s="149"/>
      <c r="R17" s="367"/>
      <c r="S17" s="149"/>
    </row>
    <row r="18" spans="1:19" s="103" customFormat="1" ht="15.6" customHeight="1" x14ac:dyDescent="0.3">
      <c r="A18" s="726">
        <v>40</v>
      </c>
      <c r="B18" s="724" t="s">
        <v>80</v>
      </c>
      <c r="C18" s="728" t="s">
        <v>234</v>
      </c>
      <c r="D18" s="727">
        <v>0.04</v>
      </c>
      <c r="E18" s="726" t="s">
        <v>79</v>
      </c>
      <c r="F18" s="725">
        <v>2</v>
      </c>
      <c r="G18" s="724" t="s">
        <v>104</v>
      </c>
      <c r="H18" s="563">
        <v>1</v>
      </c>
      <c r="I18" s="723">
        <f t="shared" si="0"/>
        <v>0.08</v>
      </c>
      <c r="J18" s="105"/>
      <c r="K18" s="105"/>
      <c r="L18" s="105"/>
      <c r="M18" s="105"/>
      <c r="N18" s="105"/>
      <c r="O18" s="107"/>
      <c r="R18" s="364"/>
    </row>
    <row r="19" spans="1:19" s="103" customFormat="1" ht="28.9" x14ac:dyDescent="0.3">
      <c r="A19" s="730">
        <v>50</v>
      </c>
      <c r="B19" s="724" t="s">
        <v>87</v>
      </c>
      <c r="C19" s="730"/>
      <c r="D19" s="731">
        <v>0.65</v>
      </c>
      <c r="E19" s="724" t="s">
        <v>24</v>
      </c>
      <c r="F19" s="730">
        <v>1</v>
      </c>
      <c r="G19" s="730" t="s">
        <v>233</v>
      </c>
      <c r="H19" s="730">
        <f>1/16</f>
        <v>6.25E-2</v>
      </c>
      <c r="I19" s="729">
        <f t="shared" si="0"/>
        <v>4.0625000000000001E-2</v>
      </c>
      <c r="J19" s="105"/>
      <c r="K19" s="105"/>
      <c r="L19" s="105"/>
      <c r="M19" s="105"/>
      <c r="N19" s="105"/>
      <c r="O19" s="107"/>
      <c r="R19" s="364"/>
    </row>
    <row r="20" spans="1:19" s="103" customFormat="1" ht="14.45" customHeight="1" x14ac:dyDescent="0.25">
      <c r="A20" s="726">
        <v>60</v>
      </c>
      <c r="B20" s="724" t="s">
        <v>80</v>
      </c>
      <c r="C20" s="728" t="s">
        <v>232</v>
      </c>
      <c r="D20" s="727">
        <v>0.04</v>
      </c>
      <c r="E20" s="726" t="s">
        <v>79</v>
      </c>
      <c r="F20" s="725">
        <v>2.2999999999999998</v>
      </c>
      <c r="G20" s="724" t="s">
        <v>323</v>
      </c>
      <c r="H20" s="563">
        <v>1</v>
      </c>
      <c r="I20" s="723">
        <f t="shared" si="0"/>
        <v>9.1999999999999998E-2</v>
      </c>
      <c r="J20" s="105"/>
      <c r="K20" s="105"/>
      <c r="L20" s="105"/>
      <c r="M20" s="105"/>
      <c r="N20" s="105"/>
      <c r="O20" s="107"/>
    </row>
    <row r="21" spans="1:19" x14ac:dyDescent="0.25">
      <c r="A21" s="657"/>
      <c r="B21" s="656"/>
      <c r="C21" s="656"/>
      <c r="D21" s="656"/>
      <c r="E21" s="656"/>
      <c r="F21" s="656"/>
      <c r="G21" s="656"/>
      <c r="H21" s="692" t="s">
        <v>20</v>
      </c>
      <c r="I21" s="691">
        <f>SUM(I15:I20)</f>
        <v>1.0145000000000002</v>
      </c>
      <c r="J21" s="656"/>
      <c r="K21" s="656"/>
      <c r="L21" s="656"/>
      <c r="M21" s="656"/>
      <c r="N21" s="656"/>
      <c r="O21" s="652"/>
    </row>
    <row r="22" spans="1:19" ht="15.75" thickBot="1" x14ac:dyDescent="0.3">
      <c r="A22" s="651"/>
      <c r="B22" s="650"/>
      <c r="C22" s="650"/>
      <c r="D22" s="650"/>
      <c r="E22" s="650"/>
      <c r="F22" s="650"/>
      <c r="G22" s="650"/>
      <c r="H22" s="650"/>
      <c r="I22" s="650"/>
      <c r="J22" s="650"/>
      <c r="K22" s="650"/>
      <c r="L22" s="650"/>
      <c r="M22" s="650"/>
      <c r="N22" s="650"/>
      <c r="O22" s="649"/>
    </row>
  </sheetData>
  <hyperlinks>
    <hyperlink ref="E3" location="dSU_04002" display="Drawing"/>
    <hyperlink ref="G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61" fitToHeight="99" orientation="landscape" horizontalDpi="1200" verticalDpi="1200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8.85546875" style="647" customWidth="1"/>
    <col min="2" max="16384" width="11.42578125" style="647"/>
  </cols>
  <sheetData>
    <row r="1" spans="1:2" x14ac:dyDescent="0.3">
      <c r="A1" s="647" t="s">
        <v>89</v>
      </c>
      <c r="B1" s="60" t="s">
        <v>324</v>
      </c>
    </row>
    <row r="4" spans="1:2" x14ac:dyDescent="0.3">
      <c r="B4" s="647" t="s">
        <v>265</v>
      </c>
    </row>
    <row r="5" spans="1:2" x14ac:dyDescent="0.3">
      <c r="B5" s="647" t="s">
        <v>264</v>
      </c>
    </row>
    <row r="6" spans="1:2" x14ac:dyDescent="0.3">
      <c r="B6" s="737"/>
    </row>
  </sheetData>
  <hyperlinks>
    <hyperlink ref="B1" location="SU_04002" display="SU_04002"/>
  </hyperlinks>
  <pageMargins left="0.31496062992125984" right="0.31496062992125984" top="0.31496062992125984" bottom="0.39370078740157483" header="0.51181102362204722" footer="0.31496062992125984"/>
  <pageSetup paperSize="9" scale="90" fitToHeight="99" orientation="landscape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5" zoomScaleNormal="85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9.42578125" style="103" customWidth="1"/>
    <col min="3" max="3" width="27" style="103" customWidth="1"/>
    <col min="4" max="4" width="11.5703125" style="103"/>
    <col min="5" max="5" width="14.7109375" style="103" customWidth="1"/>
    <col min="6" max="6" width="11.5703125" style="103"/>
    <col min="7" max="8" width="9.140625" style="103" customWidth="1"/>
    <col min="9" max="12" width="11.5703125" style="103"/>
    <col min="13" max="13" width="12.42578125" style="103" customWidth="1"/>
    <col min="14" max="16384" width="11.5703125" style="103"/>
  </cols>
  <sheetData>
    <row r="1" spans="1:15" ht="14.45" x14ac:dyDescent="0.3">
      <c r="A1" s="75"/>
      <c r="B1" s="76"/>
      <c r="C1" s="76"/>
      <c r="D1" s="76"/>
      <c r="E1" s="76"/>
      <c r="F1" s="76"/>
      <c r="G1" s="76"/>
      <c r="H1" s="76"/>
      <c r="I1" s="76"/>
      <c r="J1" s="76"/>
      <c r="K1" s="76"/>
      <c r="L1" s="76"/>
      <c r="M1" s="76"/>
      <c r="N1" s="76"/>
      <c r="O1" s="77"/>
    </row>
    <row r="2" spans="1:15" ht="14.45" x14ac:dyDescent="0.3">
      <c r="A2" s="420" t="s">
        <v>0</v>
      </c>
      <c r="B2" s="79" t="s">
        <v>1</v>
      </c>
      <c r="C2" s="80"/>
      <c r="D2" s="80"/>
      <c r="E2" s="80"/>
      <c r="F2" s="80"/>
      <c r="G2" s="81" t="s">
        <v>2</v>
      </c>
      <c r="H2" s="80"/>
      <c r="I2" s="80"/>
      <c r="J2" s="425" t="s">
        <v>3</v>
      </c>
      <c r="K2" s="82">
        <v>81</v>
      </c>
      <c r="L2" s="80"/>
      <c r="M2" s="420" t="s">
        <v>18</v>
      </c>
      <c r="N2" s="87">
        <f>N12+I16</f>
        <v>8.8765790399999975</v>
      </c>
      <c r="O2" s="84"/>
    </row>
    <row r="3" spans="1:15" ht="14.45" x14ac:dyDescent="0.3">
      <c r="A3" s="420" t="s">
        <v>5</v>
      </c>
      <c r="B3" s="79" t="str">
        <f>'SU A0100'!B3</f>
        <v>Suspension &amp; Shocks</v>
      </c>
      <c r="C3" s="80"/>
      <c r="D3" s="420" t="s">
        <v>8</v>
      </c>
      <c r="E3" s="78" t="s">
        <v>84</v>
      </c>
      <c r="F3" s="80"/>
      <c r="G3" s="80"/>
      <c r="H3" s="80"/>
      <c r="I3" s="80"/>
      <c r="J3" s="80"/>
      <c r="K3" s="80"/>
      <c r="L3" s="80"/>
      <c r="M3" s="420" t="s">
        <v>6</v>
      </c>
      <c r="N3" s="85">
        <v>1</v>
      </c>
      <c r="O3" s="84"/>
    </row>
    <row r="4" spans="1:15" ht="14.45" x14ac:dyDescent="0.3">
      <c r="A4" s="420" t="s">
        <v>7</v>
      </c>
      <c r="B4" s="81" t="str">
        <f>'SU A0100'!B4</f>
        <v>Upper Front A-arm</v>
      </c>
      <c r="C4" s="80"/>
      <c r="D4" s="420" t="s">
        <v>10</v>
      </c>
      <c r="E4" s="80"/>
      <c r="F4" s="80"/>
      <c r="G4" s="80"/>
      <c r="H4" s="80"/>
      <c r="I4" s="80"/>
      <c r="J4" s="421" t="s">
        <v>8</v>
      </c>
      <c r="K4" s="80"/>
      <c r="L4" s="80"/>
      <c r="M4" s="80"/>
      <c r="N4" s="80"/>
      <c r="O4" s="84"/>
    </row>
    <row r="5" spans="1:15" ht="14.45" x14ac:dyDescent="0.3">
      <c r="A5" s="424" t="s">
        <v>17</v>
      </c>
      <c r="B5" s="423" t="s">
        <v>242</v>
      </c>
      <c r="C5" s="80"/>
      <c r="D5" s="420" t="s">
        <v>14</v>
      </c>
      <c r="E5" s="80"/>
      <c r="F5" s="80"/>
      <c r="G5" s="80"/>
      <c r="H5" s="80"/>
      <c r="I5" s="80"/>
      <c r="J5" s="421" t="s">
        <v>10</v>
      </c>
      <c r="K5" s="80"/>
      <c r="L5" s="80"/>
      <c r="M5" s="420" t="s">
        <v>11</v>
      </c>
      <c r="N5" s="87">
        <f>N3*N2</f>
        <v>8.8765790399999975</v>
      </c>
      <c r="O5" s="84"/>
    </row>
    <row r="6" spans="1:15" ht="14.45" x14ac:dyDescent="0.3">
      <c r="A6" s="420" t="s">
        <v>9</v>
      </c>
      <c r="B6" s="422" t="s">
        <v>241</v>
      </c>
      <c r="C6" s="80"/>
      <c r="D6" s="80"/>
      <c r="E6" s="80"/>
      <c r="F6" s="80"/>
      <c r="G6" s="80"/>
      <c r="H6" s="80"/>
      <c r="I6" s="80"/>
      <c r="J6" s="421" t="s">
        <v>14</v>
      </c>
      <c r="K6" s="80"/>
      <c r="L6" s="80"/>
      <c r="M6" s="80"/>
      <c r="N6" s="80"/>
      <c r="O6" s="84"/>
    </row>
    <row r="7" spans="1:15" ht="14.45" x14ac:dyDescent="0.3">
      <c r="A7" s="420" t="s">
        <v>12</v>
      </c>
      <c r="B7" s="79" t="s">
        <v>13</v>
      </c>
      <c r="C7" s="80"/>
      <c r="D7" s="80"/>
      <c r="E7" s="80"/>
      <c r="F7" s="80"/>
      <c r="G7" s="80"/>
      <c r="H7" s="80"/>
      <c r="I7" s="80"/>
      <c r="J7" s="80"/>
      <c r="K7" s="80"/>
      <c r="L7" s="80"/>
      <c r="M7" s="80"/>
      <c r="N7" s="80"/>
      <c r="O7" s="84"/>
    </row>
    <row r="8" spans="1:15" ht="14.45" x14ac:dyDescent="0.3">
      <c r="A8" s="420" t="s">
        <v>15</v>
      </c>
      <c r="B8" s="79"/>
      <c r="C8" s="80"/>
      <c r="D8" s="80"/>
      <c r="E8" s="80"/>
      <c r="F8" s="80"/>
      <c r="G8" s="80"/>
      <c r="H8" s="80"/>
      <c r="I8" s="80"/>
      <c r="J8" s="80"/>
      <c r="K8" s="80"/>
      <c r="L8" s="80"/>
      <c r="M8" s="80"/>
      <c r="N8" s="80"/>
      <c r="O8" s="84"/>
    </row>
    <row r="9" spans="1:15" ht="14.45" x14ac:dyDescent="0.3">
      <c r="A9" s="419"/>
      <c r="B9" s="418"/>
      <c r="C9" s="418"/>
      <c r="D9" s="418"/>
      <c r="E9" s="418"/>
      <c r="F9" s="80"/>
      <c r="G9" s="80"/>
      <c r="H9" s="80"/>
      <c r="I9" s="80"/>
      <c r="J9" s="80"/>
      <c r="K9" s="80"/>
      <c r="L9" s="80"/>
      <c r="M9" s="80"/>
      <c r="N9" s="80"/>
      <c r="O9" s="84"/>
    </row>
    <row r="10" spans="1:15" ht="14.45" x14ac:dyDescent="0.3">
      <c r="A10" s="417" t="s">
        <v>16</v>
      </c>
      <c r="B10" s="416" t="s">
        <v>38</v>
      </c>
      <c r="C10" s="416" t="s">
        <v>22</v>
      </c>
      <c r="D10" s="416" t="s">
        <v>23</v>
      </c>
      <c r="E10" s="416" t="s">
        <v>31</v>
      </c>
      <c r="F10" s="404" t="s">
        <v>32</v>
      </c>
      <c r="G10" s="404" t="s">
        <v>33</v>
      </c>
      <c r="H10" s="404" t="s">
        <v>34</v>
      </c>
      <c r="I10" s="404" t="s">
        <v>39</v>
      </c>
      <c r="J10" s="404" t="s">
        <v>40</v>
      </c>
      <c r="K10" s="404" t="s">
        <v>41</v>
      </c>
      <c r="L10" s="404" t="s">
        <v>42</v>
      </c>
      <c r="M10" s="404" t="s">
        <v>19</v>
      </c>
      <c r="N10" s="404" t="s">
        <v>20</v>
      </c>
      <c r="O10" s="84"/>
    </row>
    <row r="11" spans="1:15" ht="14.45" x14ac:dyDescent="0.3">
      <c r="A11" s="415">
        <v>10</v>
      </c>
      <c r="B11" s="403" t="s">
        <v>118</v>
      </c>
      <c r="C11" s="414" t="s">
        <v>119</v>
      </c>
      <c r="D11" s="413">
        <f>200*E11*L11</f>
        <v>7.8902924799999985</v>
      </c>
      <c r="E11" s="412">
        <f>J11*K11</f>
        <v>2.4969279999999993E-5</v>
      </c>
      <c r="F11" s="411" t="s">
        <v>240</v>
      </c>
      <c r="G11" s="411"/>
      <c r="H11" s="222"/>
      <c r="I11" s="410" t="s">
        <v>239</v>
      </c>
      <c r="J11" s="223">
        <f>3.14*(0.008*0.008-0.006*0.006)</f>
        <v>8.7919999999999985E-5</v>
      </c>
      <c r="K11" s="409">
        <v>0.28399999999999997</v>
      </c>
      <c r="L11" s="408">
        <v>1580</v>
      </c>
      <c r="M11" s="225">
        <v>1</v>
      </c>
      <c r="N11" s="226">
        <f>D11*M11</f>
        <v>7.8902924799999985</v>
      </c>
      <c r="O11" s="407"/>
    </row>
    <row r="12" spans="1:15" ht="14.45" x14ac:dyDescent="0.3">
      <c r="A12" s="93"/>
      <c r="B12" s="94"/>
      <c r="C12" s="94"/>
      <c r="D12" s="94"/>
      <c r="E12" s="94"/>
      <c r="F12" s="94"/>
      <c r="G12" s="94"/>
      <c r="H12" s="94"/>
      <c r="I12" s="94"/>
      <c r="J12" s="94"/>
      <c r="K12" s="94"/>
      <c r="L12" s="94"/>
      <c r="M12" s="406" t="s">
        <v>20</v>
      </c>
      <c r="N12" s="398">
        <f>SUM(N11:N11)</f>
        <v>7.8902924799999985</v>
      </c>
      <c r="O12" s="84"/>
    </row>
    <row r="13" spans="1:15" ht="14.45" x14ac:dyDescent="0.3">
      <c r="A13" s="88"/>
      <c r="B13" s="80"/>
      <c r="C13" s="80"/>
      <c r="D13" s="80"/>
      <c r="E13" s="80"/>
      <c r="F13" s="80"/>
      <c r="G13" s="80"/>
      <c r="H13" s="80"/>
      <c r="I13" s="80"/>
      <c r="J13" s="80"/>
      <c r="K13" s="80"/>
      <c r="L13" s="80"/>
      <c r="M13" s="80"/>
      <c r="N13" s="80"/>
      <c r="O13" s="84"/>
    </row>
    <row r="14" spans="1:15" ht="14.45" x14ac:dyDescent="0.3">
      <c r="A14" s="405" t="s">
        <v>16</v>
      </c>
      <c r="B14" s="404" t="s">
        <v>21</v>
      </c>
      <c r="C14" s="404" t="s">
        <v>22</v>
      </c>
      <c r="D14" s="404" t="s">
        <v>23</v>
      </c>
      <c r="E14" s="404" t="s">
        <v>24</v>
      </c>
      <c r="F14" s="404" t="s">
        <v>19</v>
      </c>
      <c r="G14" s="404" t="s">
        <v>25</v>
      </c>
      <c r="H14" s="404" t="s">
        <v>26</v>
      </c>
      <c r="I14" s="404" t="s">
        <v>20</v>
      </c>
      <c r="J14" s="94"/>
      <c r="K14" s="94"/>
      <c r="L14" s="94"/>
      <c r="M14" s="94"/>
      <c r="N14" s="94"/>
      <c r="O14" s="84"/>
    </row>
    <row r="15" spans="1:15" ht="28.9" x14ac:dyDescent="0.3">
      <c r="A15" s="403">
        <v>10</v>
      </c>
      <c r="B15" s="403" t="s">
        <v>120</v>
      </c>
      <c r="C15" s="403" t="s">
        <v>121</v>
      </c>
      <c r="D15" s="402">
        <v>25</v>
      </c>
      <c r="E15" s="227" t="s">
        <v>43</v>
      </c>
      <c r="F15" s="401">
        <f>J11*K11*L11</f>
        <v>3.9451462399999991E-2</v>
      </c>
      <c r="G15" s="323"/>
      <c r="H15" s="323"/>
      <c r="I15" s="230">
        <f>IF(H15="",D15*F15,D15*F15*H15)</f>
        <v>0.98628655999999981</v>
      </c>
      <c r="J15" s="400"/>
      <c r="K15" s="400"/>
      <c r="L15" s="400"/>
      <c r="M15" s="400"/>
      <c r="N15" s="400"/>
      <c r="O15" s="95"/>
    </row>
    <row r="16" spans="1:15" ht="14.45" x14ac:dyDescent="0.3">
      <c r="A16" s="93"/>
      <c r="B16" s="94"/>
      <c r="C16" s="94"/>
      <c r="D16" s="94"/>
      <c r="E16" s="94"/>
      <c r="F16" s="94"/>
      <c r="G16" s="94"/>
      <c r="H16" s="399" t="s">
        <v>20</v>
      </c>
      <c r="I16" s="398">
        <f>SUM(I15:I15)</f>
        <v>0.98628655999999981</v>
      </c>
      <c r="J16" s="94"/>
      <c r="K16" s="94"/>
      <c r="L16" s="94"/>
      <c r="M16" s="94"/>
      <c r="N16" s="94"/>
      <c r="O16" s="84"/>
    </row>
    <row r="17" spans="1:15" thickBot="1" x14ac:dyDescent="0.35">
      <c r="A17" s="97"/>
      <c r="B17" s="98"/>
      <c r="C17" s="98"/>
      <c r="D17" s="98"/>
      <c r="E17" s="98"/>
      <c r="F17" s="98"/>
      <c r="G17" s="98"/>
      <c r="H17" s="98"/>
      <c r="I17" s="98"/>
      <c r="J17" s="98"/>
      <c r="K17" s="98"/>
      <c r="L17" s="98"/>
      <c r="M17" s="98"/>
      <c r="N17" s="98"/>
      <c r="O17" s="99"/>
    </row>
  </sheetData>
  <hyperlinks>
    <hyperlink ref="B4" location="'SU A0100'!A1" display="'SU A0100'!A1"/>
    <hyperlink ref="G2" location="SU_A0100_BOM" display="Back to BOM"/>
  </hyperlinks>
  <pageMargins left="0.31496062992125984" right="0.31496062992125984" top="0.31496062992125984" bottom="0.39370078740157483" header="0.51181102362204722" footer="0.31496062992125984"/>
  <pageSetup paperSize="9" scale="72" fitToHeight="99" orientation="landscape" horizontalDpi="1200" verticalDpi="1200"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90" zoomScaleNormal="90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20.7109375" style="647" customWidth="1"/>
    <col min="3" max="3" width="33" style="647" customWidth="1"/>
    <col min="4" max="4" width="11.42578125" style="647"/>
    <col min="5" max="5" width="17" style="647" customWidth="1"/>
    <col min="6" max="16384" width="11.42578125" style="647"/>
  </cols>
  <sheetData>
    <row r="1" spans="1:15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5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N12+I16</f>
        <v>12.033390599999997</v>
      </c>
      <c r="O2" s="652"/>
    </row>
    <row r="3" spans="1:15" ht="14.45" x14ac:dyDescent="0.3">
      <c r="A3" s="719" t="s">
        <v>5</v>
      </c>
      <c r="B3" s="684" t="str">
        <f>'SU A0400'!B3</f>
        <v>Suspension &amp; Shocks</v>
      </c>
      <c r="C3" s="648"/>
      <c r="D3" s="719" t="s">
        <v>8</v>
      </c>
      <c r="E3" s="647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1</v>
      </c>
      <c r="O3" s="652"/>
    </row>
    <row r="4" spans="1:15" ht="14.45" x14ac:dyDescent="0.3">
      <c r="A4" s="719" t="s">
        <v>7</v>
      </c>
      <c r="B4" s="58" t="s">
        <v>318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5" ht="14.45" x14ac:dyDescent="0.3">
      <c r="A5" s="719" t="s">
        <v>17</v>
      </c>
      <c r="B5" s="71" t="s">
        <v>326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12.033390599999997</v>
      </c>
      <c r="O5" s="652"/>
    </row>
    <row r="6" spans="1:15" ht="14.45" x14ac:dyDescent="0.3">
      <c r="A6" s="719" t="s">
        <v>9</v>
      </c>
      <c r="B6" s="721" t="s">
        <v>325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5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5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5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5" ht="14.45" x14ac:dyDescent="0.3">
      <c r="A10" s="716" t="s">
        <v>16</v>
      </c>
      <c r="B10" s="715" t="s">
        <v>38</v>
      </c>
      <c r="C10" s="715" t="s">
        <v>22</v>
      </c>
      <c r="D10" s="715" t="s">
        <v>23</v>
      </c>
      <c r="E10" s="715" t="s">
        <v>31</v>
      </c>
      <c r="F10" s="742" t="s">
        <v>32</v>
      </c>
      <c r="G10" s="742" t="s">
        <v>33</v>
      </c>
      <c r="H10" s="742" t="s">
        <v>34</v>
      </c>
      <c r="I10" s="742" t="s">
        <v>39</v>
      </c>
      <c r="J10" s="742" t="s">
        <v>40</v>
      </c>
      <c r="K10" s="742" t="s">
        <v>41</v>
      </c>
      <c r="L10" s="742" t="s">
        <v>42</v>
      </c>
      <c r="M10" s="742" t="s">
        <v>19</v>
      </c>
      <c r="N10" s="742" t="s">
        <v>20</v>
      </c>
      <c r="O10" s="652"/>
    </row>
    <row r="11" spans="1:15" ht="14.45" x14ac:dyDescent="0.3">
      <c r="A11" s="243">
        <v>10</v>
      </c>
      <c r="B11" s="427" t="s">
        <v>118</v>
      </c>
      <c r="C11" s="428" t="s">
        <v>119</v>
      </c>
      <c r="D11" s="741">
        <f>200*E11*L11</f>
        <v>10.696347199999998</v>
      </c>
      <c r="E11" s="734">
        <f>J11*K11</f>
        <v>3.3849199999999994E-5</v>
      </c>
      <c r="F11" s="714" t="s">
        <v>240</v>
      </c>
      <c r="G11" s="714"/>
      <c r="H11" s="712"/>
      <c r="I11" s="734" t="s">
        <v>239</v>
      </c>
      <c r="J11" s="65">
        <f>3.14*(0.008*0.008-0.006*0.006)</f>
        <v>8.7919999999999985E-5</v>
      </c>
      <c r="K11" s="68">
        <v>0.38500000000000001</v>
      </c>
      <c r="L11" s="147">
        <v>1580</v>
      </c>
      <c r="M11" s="740">
        <v>1</v>
      </c>
      <c r="N11" s="708">
        <f>D11*M11</f>
        <v>10.696347199999998</v>
      </c>
      <c r="O11" s="676"/>
    </row>
    <row r="12" spans="1:15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07" t="s">
        <v>20</v>
      </c>
      <c r="N12" s="691">
        <f>SUM(N11)</f>
        <v>10.696347199999998</v>
      </c>
      <c r="O12" s="652"/>
    </row>
    <row r="13" spans="1:15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</row>
    <row r="14" spans="1:15" ht="14.45" x14ac:dyDescent="0.3">
      <c r="A14" s="706" t="s">
        <v>16</v>
      </c>
      <c r="B14" s="705" t="s">
        <v>21</v>
      </c>
      <c r="C14" s="705" t="s">
        <v>22</v>
      </c>
      <c r="D14" s="705" t="s">
        <v>23</v>
      </c>
      <c r="E14" s="705" t="s">
        <v>24</v>
      </c>
      <c r="F14" s="705" t="s">
        <v>19</v>
      </c>
      <c r="G14" s="705" t="s">
        <v>25</v>
      </c>
      <c r="H14" s="705" t="s">
        <v>26</v>
      </c>
      <c r="I14" s="705" t="s">
        <v>20</v>
      </c>
      <c r="J14" s="656"/>
      <c r="K14" s="656"/>
      <c r="L14" s="656"/>
      <c r="M14" s="656"/>
      <c r="N14" s="656"/>
      <c r="O14" s="652"/>
    </row>
    <row r="15" spans="1:15" ht="29.45" customHeight="1" x14ac:dyDescent="0.3">
      <c r="A15" s="739">
        <v>10</v>
      </c>
      <c r="B15" s="739" t="s">
        <v>120</v>
      </c>
      <c r="C15" s="739" t="s">
        <v>121</v>
      </c>
      <c r="D15" s="548">
        <v>25</v>
      </c>
      <c r="E15" s="527" t="s">
        <v>43</v>
      </c>
      <c r="F15" s="738">
        <f>J11*K11*L11</f>
        <v>5.3481735999999988E-2</v>
      </c>
      <c r="G15" s="562"/>
      <c r="H15" s="562"/>
      <c r="I15" s="528">
        <f>IF(H15="",D15*F15,D15*F15*H15)</f>
        <v>1.3370433999999998</v>
      </c>
      <c r="J15" s="658"/>
      <c r="K15" s="658"/>
      <c r="L15" s="658"/>
      <c r="M15" s="658"/>
      <c r="N15" s="658"/>
      <c r="O15" s="671"/>
    </row>
    <row r="16" spans="1:15" ht="14.45" x14ac:dyDescent="0.3">
      <c r="A16" s="657"/>
      <c r="B16" s="656"/>
      <c r="C16" s="656"/>
      <c r="D16" s="656"/>
      <c r="E16" s="656"/>
      <c r="F16" s="656"/>
      <c r="G16" s="656"/>
      <c r="H16" s="692" t="s">
        <v>20</v>
      </c>
      <c r="I16" s="691">
        <f>SUM(I15:I15)</f>
        <v>1.3370433999999998</v>
      </c>
      <c r="J16" s="656"/>
      <c r="K16" s="656"/>
      <c r="L16" s="656"/>
      <c r="M16" s="656"/>
      <c r="N16" s="656"/>
      <c r="O16" s="652"/>
    </row>
    <row r="17" spans="1:15" thickBot="1" x14ac:dyDescent="0.35">
      <c r="A17" s="651"/>
      <c r="B17" s="650"/>
      <c r="C17" s="650"/>
      <c r="D17" s="650"/>
      <c r="E17" s="650"/>
      <c r="F17" s="650"/>
      <c r="G17" s="650"/>
      <c r="H17" s="650"/>
      <c r="I17" s="650"/>
      <c r="J17" s="650"/>
      <c r="K17" s="650"/>
      <c r="L17" s="650"/>
      <c r="M17" s="650"/>
      <c r="N17" s="650"/>
      <c r="O17" s="649"/>
    </row>
  </sheetData>
  <hyperlinks>
    <hyperlink ref="G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68" fitToHeight="99" orientation="landscape" horizontalDpi="1200" verticalDpi="1200"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0" zoomScaleNormal="80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28.28515625" style="647" customWidth="1"/>
    <col min="3" max="3" width="46.7109375" style="647" customWidth="1"/>
    <col min="4" max="4" width="11.42578125" style="647"/>
    <col min="5" max="5" width="18.28515625" style="647" customWidth="1"/>
    <col min="6" max="10" width="11.42578125" style="647"/>
    <col min="11" max="11" width="9.140625" style="647" customWidth="1"/>
    <col min="12" max="12" width="7.85546875" style="647" customWidth="1"/>
    <col min="13" max="14" width="11.42578125" style="647"/>
    <col min="15" max="15" width="5" style="647" customWidth="1"/>
    <col min="16" max="16384" width="11.42578125" style="647"/>
  </cols>
  <sheetData>
    <row r="1" spans="1:15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5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N12+I16</f>
        <v>7.4075677199999985</v>
      </c>
      <c r="O2" s="652"/>
    </row>
    <row r="3" spans="1:15" ht="14.45" x14ac:dyDescent="0.3">
      <c r="A3" s="719" t="s">
        <v>5</v>
      </c>
      <c r="B3" s="684" t="str">
        <f>'SU A0400'!B3</f>
        <v>Suspension &amp; Shocks</v>
      </c>
      <c r="C3" s="648"/>
      <c r="D3" s="719" t="s">
        <v>8</v>
      </c>
      <c r="E3" s="647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1</v>
      </c>
      <c r="O3" s="652"/>
    </row>
    <row r="4" spans="1:15" ht="14.45" x14ac:dyDescent="0.3">
      <c r="A4" s="719" t="s">
        <v>7</v>
      </c>
      <c r="B4" s="58" t="s">
        <v>318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5" ht="14.45" x14ac:dyDescent="0.3">
      <c r="A5" s="736" t="s">
        <v>17</v>
      </c>
      <c r="B5" s="74" t="s">
        <v>328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7.4075677199999985</v>
      </c>
      <c r="O5" s="652"/>
    </row>
    <row r="6" spans="1:15" ht="14.45" x14ac:dyDescent="0.3">
      <c r="A6" s="719" t="s">
        <v>9</v>
      </c>
      <c r="B6" s="721" t="s">
        <v>327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5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5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5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5" ht="14.45" x14ac:dyDescent="0.3">
      <c r="A10" s="716" t="s">
        <v>16</v>
      </c>
      <c r="B10" s="715" t="s">
        <v>38</v>
      </c>
      <c r="C10" s="715" t="s">
        <v>22</v>
      </c>
      <c r="D10" s="715" t="s">
        <v>23</v>
      </c>
      <c r="E10" s="715" t="s">
        <v>31</v>
      </c>
      <c r="F10" s="742" t="s">
        <v>32</v>
      </c>
      <c r="G10" s="742" t="s">
        <v>33</v>
      </c>
      <c r="H10" s="742" t="s">
        <v>34</v>
      </c>
      <c r="I10" s="742" t="s">
        <v>39</v>
      </c>
      <c r="J10" s="742" t="s">
        <v>40</v>
      </c>
      <c r="K10" s="742" t="s">
        <v>41</v>
      </c>
      <c r="L10" s="742" t="s">
        <v>42</v>
      </c>
      <c r="M10" s="742" t="s">
        <v>19</v>
      </c>
      <c r="N10" s="742" t="s">
        <v>20</v>
      </c>
      <c r="O10" s="652"/>
    </row>
    <row r="11" spans="1:15" ht="14.45" x14ac:dyDescent="0.3">
      <c r="A11" s="243">
        <v>10</v>
      </c>
      <c r="B11" s="427" t="s">
        <v>118</v>
      </c>
      <c r="C11" s="428" t="s">
        <v>119</v>
      </c>
      <c r="D11" s="741">
        <f>200*E11*L11</f>
        <v>6.5845046399999987</v>
      </c>
      <c r="E11" s="372">
        <f>J11*K11</f>
        <v>2.0837039999999997E-5</v>
      </c>
      <c r="F11" s="373" t="s">
        <v>240</v>
      </c>
      <c r="G11" s="373"/>
      <c r="H11" s="168"/>
      <c r="I11" s="372" t="s">
        <v>239</v>
      </c>
      <c r="J11" s="65">
        <f>3.14*(0.008*0.008-0.006*0.006)</f>
        <v>8.7919999999999985E-5</v>
      </c>
      <c r="K11" s="68">
        <v>0.23699999999999999</v>
      </c>
      <c r="L11" s="147">
        <v>1580</v>
      </c>
      <c r="M11" s="171">
        <v>1</v>
      </c>
      <c r="N11" s="167">
        <f>D11*M11</f>
        <v>6.5845046399999987</v>
      </c>
      <c r="O11" s="676"/>
    </row>
    <row r="12" spans="1:15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43" t="s">
        <v>20</v>
      </c>
      <c r="N12" s="691">
        <f>SUM(N11)</f>
        <v>6.5845046399999987</v>
      </c>
      <c r="O12" s="652"/>
    </row>
    <row r="13" spans="1:15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</row>
    <row r="14" spans="1:15" ht="14.45" x14ac:dyDescent="0.3">
      <c r="A14" s="810" t="s">
        <v>16</v>
      </c>
      <c r="B14" s="742" t="s">
        <v>21</v>
      </c>
      <c r="C14" s="742" t="s">
        <v>22</v>
      </c>
      <c r="D14" s="742" t="s">
        <v>23</v>
      </c>
      <c r="E14" s="742" t="s">
        <v>24</v>
      </c>
      <c r="F14" s="742" t="s">
        <v>19</v>
      </c>
      <c r="G14" s="742" t="s">
        <v>25</v>
      </c>
      <c r="H14" s="742" t="s">
        <v>26</v>
      </c>
      <c r="I14" s="742" t="s">
        <v>20</v>
      </c>
      <c r="J14" s="656"/>
      <c r="K14" s="656"/>
      <c r="L14" s="656"/>
      <c r="M14" s="656"/>
      <c r="N14" s="656"/>
      <c r="O14" s="652"/>
    </row>
    <row r="15" spans="1:15" ht="16.899999999999999" customHeight="1" x14ac:dyDescent="0.3">
      <c r="A15" s="427">
        <v>10</v>
      </c>
      <c r="B15" s="427" t="s">
        <v>120</v>
      </c>
      <c r="C15" s="427" t="s">
        <v>121</v>
      </c>
      <c r="D15" s="185">
        <v>25</v>
      </c>
      <c r="E15" s="177" t="s">
        <v>43</v>
      </c>
      <c r="F15" s="603">
        <f>J11*K11*L11</f>
        <v>3.2922523199999998E-2</v>
      </c>
      <c r="G15" s="322"/>
      <c r="H15" s="322"/>
      <c r="I15" s="186">
        <f>IF(H15="",D15*F15,D15*F15*H15)</f>
        <v>0.82306307999999995</v>
      </c>
      <c r="J15" s="658"/>
      <c r="K15" s="658"/>
      <c r="L15" s="658"/>
      <c r="M15" s="658"/>
      <c r="N15" s="658"/>
      <c r="O15" s="671"/>
    </row>
    <row r="16" spans="1:15" ht="14.45" x14ac:dyDescent="0.3">
      <c r="A16" s="657"/>
      <c r="B16" s="656"/>
      <c r="C16" s="656"/>
      <c r="D16" s="656"/>
      <c r="E16" s="656"/>
      <c r="F16" s="656"/>
      <c r="G16" s="656"/>
      <c r="H16" s="692" t="s">
        <v>20</v>
      </c>
      <c r="I16" s="691">
        <f>SUM(I15:I15)</f>
        <v>0.82306307999999995</v>
      </c>
      <c r="J16" s="656"/>
      <c r="K16" s="656"/>
      <c r="L16" s="656"/>
      <c r="M16" s="656"/>
      <c r="N16" s="656"/>
      <c r="O16" s="652"/>
    </row>
    <row r="17" spans="1:15" thickBot="1" x14ac:dyDescent="0.35">
      <c r="A17" s="651"/>
      <c r="B17" s="650"/>
      <c r="C17" s="650"/>
      <c r="D17" s="650"/>
      <c r="E17" s="650"/>
      <c r="F17" s="650"/>
      <c r="G17" s="650"/>
      <c r="H17" s="650"/>
      <c r="I17" s="650"/>
      <c r="J17" s="650"/>
      <c r="K17" s="650"/>
      <c r="L17" s="650"/>
      <c r="M17" s="650"/>
      <c r="N17" s="650"/>
      <c r="O17" s="649"/>
    </row>
  </sheetData>
  <hyperlinks>
    <hyperlink ref="G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65" fitToHeight="99" orientation="landscape" horizontalDpi="1200" verticalDpi="1200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8"/>
  <sheetViews>
    <sheetView zoomScale="90" zoomScaleNormal="90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25.140625" style="647" customWidth="1"/>
    <col min="3" max="3" width="30.5703125" style="647" customWidth="1"/>
    <col min="4" max="8" width="11.42578125" style="647"/>
    <col min="9" max="9" width="14" style="647" customWidth="1"/>
    <col min="10" max="16" width="11.42578125" style="647"/>
    <col min="17" max="17" width="12.85546875" style="647" bestFit="1" customWidth="1"/>
    <col min="18" max="16384" width="11.42578125" style="647"/>
  </cols>
  <sheetData>
    <row r="1" spans="1:17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7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N12+I17</f>
        <v>1.6276857568</v>
      </c>
      <c r="O2" s="652"/>
    </row>
    <row r="3" spans="1:17" ht="14.45" x14ac:dyDescent="0.3">
      <c r="A3" s="719" t="s">
        <v>5</v>
      </c>
      <c r="B3" s="684" t="str">
        <f>'SU A0400'!B3</f>
        <v>Suspension &amp; Shocks</v>
      </c>
      <c r="C3" s="648"/>
      <c r="D3" s="719" t="s">
        <v>8</v>
      </c>
      <c r="E3" s="60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2</v>
      </c>
      <c r="O3" s="652"/>
    </row>
    <row r="4" spans="1:17" ht="14.45" x14ac:dyDescent="0.3">
      <c r="A4" s="719" t="s">
        <v>7</v>
      </c>
      <c r="B4" s="58" t="s">
        <v>318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7" ht="14.45" x14ac:dyDescent="0.3">
      <c r="A5" s="719" t="s">
        <v>17</v>
      </c>
      <c r="B5" s="686" t="s">
        <v>248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3.2553715136000001</v>
      </c>
      <c r="O5" s="652"/>
    </row>
    <row r="6" spans="1:17" ht="14.45" x14ac:dyDescent="0.3">
      <c r="A6" s="719" t="s">
        <v>9</v>
      </c>
      <c r="B6" s="721" t="s">
        <v>329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7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7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7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7" ht="14.45" x14ac:dyDescent="0.3">
      <c r="A10" s="716" t="s">
        <v>16</v>
      </c>
      <c r="B10" s="715" t="s">
        <v>38</v>
      </c>
      <c r="C10" s="715" t="s">
        <v>22</v>
      </c>
      <c r="D10" s="715" t="s">
        <v>23</v>
      </c>
      <c r="E10" s="715" t="s">
        <v>31</v>
      </c>
      <c r="F10" s="742" t="s">
        <v>32</v>
      </c>
      <c r="G10" s="742" t="s">
        <v>33</v>
      </c>
      <c r="H10" s="742" t="s">
        <v>34</v>
      </c>
      <c r="I10" s="742" t="s">
        <v>39</v>
      </c>
      <c r="J10" s="742" t="s">
        <v>40</v>
      </c>
      <c r="K10" s="742" t="s">
        <v>41</v>
      </c>
      <c r="L10" s="742" t="s">
        <v>42</v>
      </c>
      <c r="M10" s="742" t="s">
        <v>19</v>
      </c>
      <c r="N10" s="742" t="s">
        <v>20</v>
      </c>
      <c r="O10" s="652"/>
    </row>
    <row r="11" spans="1:17" ht="14.45" x14ac:dyDescent="0.3">
      <c r="A11" s="820">
        <v>10</v>
      </c>
      <c r="B11" s="811" t="s">
        <v>246</v>
      </c>
      <c r="C11" s="818" t="s">
        <v>99</v>
      </c>
      <c r="D11" s="167">
        <v>2.25</v>
      </c>
      <c r="E11" s="819">
        <f>J11*K11*L11/1000000000</f>
        <v>1.2304780800000002E-2</v>
      </c>
      <c r="F11" s="818" t="s">
        <v>153</v>
      </c>
      <c r="G11" s="818"/>
      <c r="H11" s="168"/>
      <c r="I11" s="817" t="s">
        <v>154</v>
      </c>
      <c r="J11" s="69">
        <f>3.14*8*8</f>
        <v>200.96</v>
      </c>
      <c r="K11" s="68">
        <v>7.8</v>
      </c>
      <c r="L11" s="672">
        <v>7850</v>
      </c>
      <c r="M11" s="175">
        <v>1</v>
      </c>
      <c r="N11" s="167">
        <f>D11*E11</f>
        <v>2.7685756800000003E-2</v>
      </c>
      <c r="O11" s="676"/>
      <c r="Q11" s="704"/>
    </row>
    <row r="12" spans="1:17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43" t="s">
        <v>20</v>
      </c>
      <c r="N12" s="691">
        <f>SUM(N11:N11)</f>
        <v>2.7685756800000003E-2</v>
      </c>
      <c r="O12" s="652"/>
    </row>
    <row r="13" spans="1:17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</row>
    <row r="14" spans="1:17" ht="14.45" x14ac:dyDescent="0.3">
      <c r="A14" s="810" t="s">
        <v>16</v>
      </c>
      <c r="B14" s="742" t="s">
        <v>21</v>
      </c>
      <c r="C14" s="742" t="s">
        <v>22</v>
      </c>
      <c r="D14" s="742" t="s">
        <v>23</v>
      </c>
      <c r="E14" s="742" t="s">
        <v>24</v>
      </c>
      <c r="F14" s="742" t="s">
        <v>19</v>
      </c>
      <c r="G14" s="742" t="s">
        <v>25</v>
      </c>
      <c r="H14" s="742" t="s">
        <v>26</v>
      </c>
      <c r="I14" s="742" t="s">
        <v>20</v>
      </c>
      <c r="J14" s="656"/>
      <c r="K14" s="656"/>
      <c r="L14" s="656"/>
      <c r="M14" s="656"/>
      <c r="N14" s="656"/>
      <c r="O14" s="652"/>
    </row>
    <row r="15" spans="1:17" ht="28.9" x14ac:dyDescent="0.3">
      <c r="A15" s="816">
        <v>10</v>
      </c>
      <c r="B15" s="172" t="s">
        <v>81</v>
      </c>
      <c r="C15" s="815" t="s">
        <v>103</v>
      </c>
      <c r="D15" s="173">
        <v>1.3</v>
      </c>
      <c r="E15" s="172" t="s">
        <v>72</v>
      </c>
      <c r="F15" s="815">
        <v>1</v>
      </c>
      <c r="G15" s="815"/>
      <c r="H15" s="815"/>
      <c r="I15" s="173">
        <f>IF(H15="",D15*F15,D15*F15*H15)</f>
        <v>1.3</v>
      </c>
      <c r="J15" s="658"/>
      <c r="K15" s="658"/>
      <c r="L15" s="658"/>
      <c r="M15" s="658"/>
      <c r="N15" s="658"/>
      <c r="O15" s="671"/>
    </row>
    <row r="16" spans="1:17" ht="14.45" x14ac:dyDescent="0.3">
      <c r="A16" s="814">
        <v>20</v>
      </c>
      <c r="B16" s="813" t="s">
        <v>80</v>
      </c>
      <c r="C16" s="429" t="s">
        <v>126</v>
      </c>
      <c r="D16" s="167">
        <v>0.04</v>
      </c>
      <c r="E16" s="172" t="s">
        <v>79</v>
      </c>
      <c r="F16" s="812">
        <v>2.5</v>
      </c>
      <c r="G16" s="172" t="s">
        <v>164</v>
      </c>
      <c r="H16" s="811">
        <v>3</v>
      </c>
      <c r="I16" s="167">
        <f>IF(H16="",D16*F16,D16*F16*H16)</f>
        <v>0.30000000000000004</v>
      </c>
      <c r="J16" s="648"/>
      <c r="K16" s="648"/>
      <c r="L16" s="648"/>
      <c r="M16" s="648"/>
      <c r="N16" s="648"/>
      <c r="O16" s="652"/>
    </row>
    <row r="17" spans="1:15" ht="14.45" x14ac:dyDescent="0.3">
      <c r="A17" s="657"/>
      <c r="B17" s="656"/>
      <c r="C17" s="656"/>
      <c r="D17" s="656"/>
      <c r="E17" s="656"/>
      <c r="F17" s="656"/>
      <c r="G17" s="656"/>
      <c r="H17" s="692" t="s">
        <v>20</v>
      </c>
      <c r="I17" s="691">
        <f>SUM(I15:I16)</f>
        <v>1.6</v>
      </c>
      <c r="J17" s="656"/>
      <c r="K17" s="656"/>
      <c r="L17" s="656"/>
      <c r="M17" s="656"/>
      <c r="N17" s="656"/>
      <c r="O17" s="652"/>
    </row>
    <row r="18" spans="1:15" thickBot="1" x14ac:dyDescent="0.35">
      <c r="A18" s="651"/>
      <c r="B18" s="650"/>
      <c r="C18" s="650"/>
      <c r="D18" s="650"/>
      <c r="E18" s="650"/>
      <c r="F18" s="650"/>
      <c r="G18" s="650"/>
      <c r="H18" s="650"/>
      <c r="I18" s="650"/>
      <c r="J18" s="650"/>
      <c r="K18" s="650"/>
      <c r="L18" s="650"/>
      <c r="M18" s="650"/>
      <c r="N18" s="650"/>
      <c r="O18" s="649"/>
    </row>
  </sheetData>
  <hyperlinks>
    <hyperlink ref="E3" location="dSU_04005" display="Drawing"/>
    <hyperlink ref="G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69" fitToHeight="99" orientation="landscape" horizontalDpi="1200" verticalDpi="1200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22.5703125" style="647" customWidth="1"/>
    <col min="2" max="16384" width="11.42578125" style="647"/>
  </cols>
  <sheetData>
    <row r="1" spans="1:2" x14ac:dyDescent="0.3">
      <c r="A1" s="647" t="s">
        <v>89</v>
      </c>
      <c r="B1" s="60" t="s">
        <v>329</v>
      </c>
    </row>
  </sheetData>
  <hyperlinks>
    <hyperlink ref="B1" location="SU_04005" display="SU_04005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22.140625" style="103" customWidth="1"/>
    <col min="3" max="3" width="16.5703125" style="103" customWidth="1"/>
    <col min="4" max="6" width="11.5703125" style="103"/>
    <col min="7" max="7" width="14.28515625" style="103" customWidth="1"/>
    <col min="8" max="12" width="11.5703125" style="103"/>
    <col min="13" max="13" width="13.7109375" style="103" customWidth="1"/>
    <col min="14" max="16384" width="11.5703125" style="103"/>
  </cols>
  <sheetData>
    <row r="1" spans="1:15" ht="14.45" x14ac:dyDescent="0.3">
      <c r="A1" s="690"/>
      <c r="B1" s="689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719" t="s">
        <v>0</v>
      </c>
      <c r="B2" s="68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N12+I17</f>
        <v>0.80517824000000005</v>
      </c>
      <c r="O2" s="107"/>
    </row>
    <row r="3" spans="1:15" ht="14.45" x14ac:dyDescent="0.3">
      <c r="A3" s="719" t="s">
        <v>5</v>
      </c>
      <c r="B3" s="684" t="str">
        <f>'SU A0400'!B3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4</v>
      </c>
      <c r="O3" s="107"/>
    </row>
    <row r="4" spans="1:15" ht="14.45" x14ac:dyDescent="0.3">
      <c r="A4" s="719" t="s">
        <v>7</v>
      </c>
      <c r="B4" s="58" t="s">
        <v>318</v>
      </c>
      <c r="C4" s="105"/>
      <c r="D4" s="377" t="s">
        <v>10</v>
      </c>
      <c r="E4" s="105"/>
      <c r="F4" s="105"/>
      <c r="G4" s="105"/>
      <c r="H4" s="105"/>
      <c r="I4" s="105"/>
      <c r="J4" s="369" t="s">
        <v>8</v>
      </c>
      <c r="K4" s="105"/>
      <c r="L4" s="105"/>
      <c r="M4" s="105"/>
      <c r="N4" s="105"/>
      <c r="O4" s="107"/>
    </row>
    <row r="5" spans="1:15" ht="14.45" x14ac:dyDescent="0.3">
      <c r="A5" s="719" t="s">
        <v>17</v>
      </c>
      <c r="B5" s="686" t="s">
        <v>218</v>
      </c>
      <c r="C5" s="105"/>
      <c r="D5" s="377" t="s">
        <v>14</v>
      </c>
      <c r="E5" s="105"/>
      <c r="F5" s="105"/>
      <c r="G5" s="105"/>
      <c r="H5" s="105"/>
      <c r="I5" s="105"/>
      <c r="J5" s="369" t="s">
        <v>10</v>
      </c>
      <c r="K5" s="105"/>
      <c r="L5" s="105"/>
      <c r="M5" s="377" t="s">
        <v>11</v>
      </c>
      <c r="N5" s="46">
        <f>N3*N2</f>
        <v>3.2207129600000002</v>
      </c>
      <c r="O5" s="107"/>
    </row>
    <row r="6" spans="1:15" ht="14.45" x14ac:dyDescent="0.3">
      <c r="A6" s="719" t="s">
        <v>9</v>
      </c>
      <c r="B6" s="721" t="s">
        <v>330</v>
      </c>
      <c r="C6" s="105"/>
      <c r="D6" s="105"/>
      <c r="E6" s="105"/>
      <c r="F6" s="105"/>
      <c r="G6" s="105"/>
      <c r="H6" s="105"/>
      <c r="I6" s="105"/>
      <c r="J6" s="369" t="s">
        <v>14</v>
      </c>
      <c r="K6" s="105"/>
      <c r="L6" s="105"/>
      <c r="M6" s="105"/>
      <c r="N6" s="105"/>
      <c r="O6" s="107"/>
    </row>
    <row r="7" spans="1:15" ht="14.45" x14ac:dyDescent="0.3">
      <c r="A7" s="719" t="s">
        <v>12</v>
      </c>
      <c r="B7" s="684"/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719" t="s">
        <v>15</v>
      </c>
      <c r="B8" s="68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5" ht="14.45" x14ac:dyDescent="0.3">
      <c r="A11" s="196">
        <v>10</v>
      </c>
      <c r="B11" s="215" t="s">
        <v>112</v>
      </c>
      <c r="C11" s="221"/>
      <c r="D11" s="178">
        <v>2.25</v>
      </c>
      <c r="E11" s="410">
        <f>J11*K11*L11</f>
        <v>6.3101440000000009E-2</v>
      </c>
      <c r="F11" s="411" t="s">
        <v>153</v>
      </c>
      <c r="G11" s="411"/>
      <c r="H11" s="222"/>
      <c r="I11" s="410" t="s">
        <v>154</v>
      </c>
      <c r="J11" s="223">
        <f>3.14*8*8/1000000</f>
        <v>2.0096E-4</v>
      </c>
      <c r="K11" s="224">
        <v>0.04</v>
      </c>
      <c r="L11" s="408">
        <v>7850</v>
      </c>
      <c r="M11" s="225">
        <v>1</v>
      </c>
      <c r="N11" s="226">
        <f>D11*E11*M11</f>
        <v>0.14197824000000003</v>
      </c>
      <c r="O11" s="407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0.14197824000000003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821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5" ht="29.45" customHeight="1" x14ac:dyDescent="0.3">
      <c r="A15" s="227">
        <v>10</v>
      </c>
      <c r="B15" s="227" t="s">
        <v>81</v>
      </c>
      <c r="C15" s="227" t="s">
        <v>103</v>
      </c>
      <c r="D15" s="402">
        <v>1.3</v>
      </c>
      <c r="E15" s="227" t="s">
        <v>24</v>
      </c>
      <c r="F15" s="323">
        <v>1</v>
      </c>
      <c r="G15" s="431" t="s">
        <v>245</v>
      </c>
      <c r="H15" s="431">
        <v>0.5</v>
      </c>
      <c r="I15" s="230">
        <f>IF(H15="",D15*F15,D15*F15*H15)</f>
        <v>0.65</v>
      </c>
      <c r="J15" s="400"/>
      <c r="K15" s="400"/>
      <c r="L15" s="400"/>
      <c r="M15" s="400"/>
      <c r="N15" s="400"/>
      <c r="O15" s="95"/>
    </row>
    <row r="16" spans="1:15" ht="14.45" x14ac:dyDescent="0.3">
      <c r="A16" s="429">
        <v>20</v>
      </c>
      <c r="B16" s="429" t="s">
        <v>80</v>
      </c>
      <c r="C16" s="429" t="s">
        <v>126</v>
      </c>
      <c r="D16" s="430">
        <v>0.04</v>
      </c>
      <c r="E16" s="429" t="s">
        <v>79</v>
      </c>
      <c r="F16" s="429">
        <v>0.11</v>
      </c>
      <c r="G16" s="429" t="s">
        <v>95</v>
      </c>
      <c r="H16" s="429">
        <v>3</v>
      </c>
      <c r="I16" s="230">
        <f>IF(H16="",D16*F16,D16*F16*H16)</f>
        <v>1.32E-2</v>
      </c>
      <c r="J16" s="80"/>
      <c r="K16" s="80"/>
      <c r="L16" s="80"/>
      <c r="M16" s="80"/>
      <c r="N16" s="80"/>
      <c r="O16" s="84"/>
    </row>
    <row r="17" spans="1:15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58">
        <f>SUM(I15:I16)</f>
        <v>0.66320000000000001</v>
      </c>
      <c r="J17" s="115"/>
      <c r="K17" s="115"/>
      <c r="L17" s="115"/>
      <c r="M17" s="115"/>
      <c r="N17" s="115"/>
      <c r="O17" s="107"/>
    </row>
    <row r="18" spans="1:15" thickBot="1" x14ac:dyDescent="0.35">
      <c r="A18" s="118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119"/>
      <c r="O18" s="120"/>
    </row>
  </sheetData>
  <hyperlinks>
    <hyperlink ref="E3" location="dSU_02005" display="Drawing"/>
    <hyperlink ref="G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73" fitToHeight="99" orientation="landscape" horizontalDpi="1200" verticalDpi="1200"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330</v>
      </c>
    </row>
  </sheetData>
  <hyperlinks>
    <hyperlink ref="B1" location="SU_04006" display="SU_04006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90" zoomScaleNormal="90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11.42578125" style="647"/>
    <col min="2" max="2" width="28.7109375" style="647" customWidth="1"/>
    <col min="3" max="3" width="24.28515625" style="647" customWidth="1"/>
    <col min="4" max="8" width="11.42578125" style="647"/>
    <col min="9" max="9" width="15.28515625" style="647" customWidth="1"/>
    <col min="10" max="16" width="11.42578125" style="647"/>
    <col min="17" max="17" width="12.85546875" style="647" bestFit="1" customWidth="1"/>
    <col min="18" max="16384" width="11.42578125" style="647"/>
  </cols>
  <sheetData>
    <row r="1" spans="1:17" ht="14.45" x14ac:dyDescent="0.3">
      <c r="A1" s="690"/>
      <c r="B1" s="689"/>
      <c r="C1" s="689"/>
      <c r="D1" s="689"/>
      <c r="E1" s="689"/>
      <c r="F1" s="689"/>
      <c r="G1" s="689"/>
      <c r="H1" s="689"/>
      <c r="I1" s="689"/>
      <c r="J1" s="689"/>
      <c r="K1" s="689"/>
      <c r="L1" s="689"/>
      <c r="M1" s="689"/>
      <c r="N1" s="689"/>
      <c r="O1" s="688"/>
    </row>
    <row r="2" spans="1:17" ht="14.45" x14ac:dyDescent="0.3">
      <c r="A2" s="719" t="s">
        <v>0</v>
      </c>
      <c r="B2" s="684" t="s">
        <v>1</v>
      </c>
      <c r="C2" s="648"/>
      <c r="D2" s="648"/>
      <c r="E2" s="648"/>
      <c r="F2" s="648"/>
      <c r="G2" s="58" t="s">
        <v>2</v>
      </c>
      <c r="H2" s="648"/>
      <c r="I2" s="648"/>
      <c r="J2" s="722" t="s">
        <v>3</v>
      </c>
      <c r="K2" s="687">
        <v>81</v>
      </c>
      <c r="L2" s="648"/>
      <c r="M2" s="719" t="s">
        <v>18</v>
      </c>
      <c r="N2" s="46">
        <f>N12+I16</f>
        <v>0.47719727680000001</v>
      </c>
      <c r="O2" s="652"/>
    </row>
    <row r="3" spans="1:17" ht="14.45" x14ac:dyDescent="0.3">
      <c r="A3" s="719" t="s">
        <v>5</v>
      </c>
      <c r="B3" s="684" t="str">
        <f>'SU A0400'!B3</f>
        <v>Suspension &amp; Shocks</v>
      </c>
      <c r="C3" s="648"/>
      <c r="D3" s="719" t="s">
        <v>8</v>
      </c>
      <c r="E3" s="60" t="s">
        <v>84</v>
      </c>
      <c r="F3" s="648"/>
      <c r="G3" s="648"/>
      <c r="H3" s="648"/>
      <c r="I3" s="648"/>
      <c r="J3" s="648"/>
      <c r="K3" s="648"/>
      <c r="L3" s="648"/>
      <c r="M3" s="719" t="s">
        <v>6</v>
      </c>
      <c r="N3" s="47">
        <v>2</v>
      </c>
      <c r="O3" s="652"/>
    </row>
    <row r="4" spans="1:17" ht="14.45" x14ac:dyDescent="0.3">
      <c r="A4" s="719" t="s">
        <v>7</v>
      </c>
      <c r="B4" s="58" t="s">
        <v>318</v>
      </c>
      <c r="C4" s="648"/>
      <c r="D4" s="719" t="s">
        <v>10</v>
      </c>
      <c r="E4" s="648"/>
      <c r="F4" s="648"/>
      <c r="G4" s="648"/>
      <c r="H4" s="648"/>
      <c r="I4" s="648"/>
      <c r="J4" s="720" t="s">
        <v>8</v>
      </c>
      <c r="K4" s="648"/>
      <c r="L4" s="648"/>
      <c r="M4" s="648"/>
      <c r="N4" s="648"/>
      <c r="O4" s="652"/>
    </row>
    <row r="5" spans="1:17" ht="14.45" x14ac:dyDescent="0.3">
      <c r="A5" s="719" t="s">
        <v>17</v>
      </c>
      <c r="B5" s="673" t="s">
        <v>254</v>
      </c>
      <c r="C5" s="648"/>
      <c r="D5" s="719" t="s">
        <v>14</v>
      </c>
      <c r="E5" s="648"/>
      <c r="F5" s="648"/>
      <c r="G5" s="648"/>
      <c r="H5" s="648"/>
      <c r="I5" s="648"/>
      <c r="J5" s="720" t="s">
        <v>10</v>
      </c>
      <c r="K5" s="648"/>
      <c r="L5" s="648"/>
      <c r="M5" s="719" t="s">
        <v>11</v>
      </c>
      <c r="N5" s="46">
        <f>N3*N2</f>
        <v>0.95439455360000003</v>
      </c>
      <c r="O5" s="652"/>
    </row>
    <row r="6" spans="1:17" ht="14.45" x14ac:dyDescent="0.3">
      <c r="A6" s="719" t="s">
        <v>9</v>
      </c>
      <c r="B6" s="721" t="s">
        <v>331</v>
      </c>
      <c r="C6" s="648"/>
      <c r="D6" s="648"/>
      <c r="E6" s="648"/>
      <c r="F6" s="648"/>
      <c r="G6" s="648"/>
      <c r="H6" s="648"/>
      <c r="I6" s="648"/>
      <c r="J6" s="720" t="s">
        <v>14</v>
      </c>
      <c r="K6" s="648"/>
      <c r="L6" s="648"/>
      <c r="M6" s="648"/>
      <c r="N6" s="648"/>
      <c r="O6" s="652"/>
    </row>
    <row r="7" spans="1:17" ht="14.45" x14ac:dyDescent="0.3">
      <c r="A7" s="719" t="s">
        <v>12</v>
      </c>
      <c r="B7" s="684"/>
      <c r="C7" s="648"/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52"/>
    </row>
    <row r="8" spans="1:17" ht="14.45" x14ac:dyDescent="0.3">
      <c r="A8" s="719" t="s">
        <v>15</v>
      </c>
      <c r="B8" s="684"/>
      <c r="C8" s="648"/>
      <c r="D8" s="648"/>
      <c r="E8" s="648"/>
      <c r="F8" s="648"/>
      <c r="G8" s="648"/>
      <c r="H8" s="648"/>
      <c r="I8" s="648"/>
      <c r="J8" s="648"/>
      <c r="K8" s="648"/>
      <c r="L8" s="648"/>
      <c r="M8" s="648"/>
      <c r="N8" s="648"/>
      <c r="O8" s="652"/>
    </row>
    <row r="9" spans="1:17" ht="14.45" x14ac:dyDescent="0.3">
      <c r="A9" s="718"/>
      <c r="B9" s="717"/>
      <c r="C9" s="717"/>
      <c r="D9" s="717"/>
      <c r="E9" s="717"/>
      <c r="F9" s="648"/>
      <c r="G9" s="648"/>
      <c r="H9" s="648"/>
      <c r="I9" s="648"/>
      <c r="J9" s="648"/>
      <c r="K9" s="648"/>
      <c r="L9" s="648"/>
      <c r="M9" s="648"/>
      <c r="N9" s="648"/>
      <c r="O9" s="652"/>
    </row>
    <row r="10" spans="1:17" ht="14.45" x14ac:dyDescent="0.3">
      <c r="A10" s="417" t="s">
        <v>16</v>
      </c>
      <c r="B10" s="416" t="s">
        <v>38</v>
      </c>
      <c r="C10" s="416" t="s">
        <v>22</v>
      </c>
      <c r="D10" s="416" t="s">
        <v>23</v>
      </c>
      <c r="E10" s="416" t="s">
        <v>31</v>
      </c>
      <c r="F10" s="404" t="s">
        <v>32</v>
      </c>
      <c r="G10" s="404" t="s">
        <v>33</v>
      </c>
      <c r="H10" s="404" t="s">
        <v>34</v>
      </c>
      <c r="I10" s="404" t="s">
        <v>39</v>
      </c>
      <c r="J10" s="404" t="s">
        <v>40</v>
      </c>
      <c r="K10" s="404" t="s">
        <v>41</v>
      </c>
      <c r="L10" s="404" t="s">
        <v>42</v>
      </c>
      <c r="M10" s="404" t="s">
        <v>19</v>
      </c>
      <c r="N10" s="404" t="s">
        <v>20</v>
      </c>
      <c r="O10" s="84"/>
    </row>
    <row r="11" spans="1:17" ht="28.9" x14ac:dyDescent="0.3">
      <c r="A11" s="383">
        <v>10</v>
      </c>
      <c r="B11" s="446" t="s">
        <v>146</v>
      </c>
      <c r="C11" s="383" t="s">
        <v>147</v>
      </c>
      <c r="D11" s="205">
        <v>4.2</v>
      </c>
      <c r="E11" s="445">
        <v>12</v>
      </c>
      <c r="F11" s="383" t="s">
        <v>35</v>
      </c>
      <c r="G11" s="383"/>
      <c r="H11" s="206"/>
      <c r="I11" s="444" t="s">
        <v>252</v>
      </c>
      <c r="J11" s="443">
        <f>3.14*0.006^2</f>
        <v>1.1304E-4</v>
      </c>
      <c r="K11" s="442">
        <v>0.06</v>
      </c>
      <c r="L11" s="441">
        <v>2710</v>
      </c>
      <c r="M11" s="440">
        <v>1</v>
      </c>
      <c r="N11" s="230">
        <f>IF(J11="",D11*M11,D11*J11*K11*L11*M11)</f>
        <v>7.7197276800000006E-2</v>
      </c>
      <c r="O11" s="439"/>
    </row>
    <row r="12" spans="1:17" ht="14.45" x14ac:dyDescent="0.3">
      <c r="A12" s="657"/>
      <c r="B12" s="656"/>
      <c r="C12" s="656"/>
      <c r="D12" s="656"/>
      <c r="E12" s="656"/>
      <c r="F12" s="656"/>
      <c r="G12" s="656"/>
      <c r="H12" s="656"/>
      <c r="I12" s="656"/>
      <c r="J12" s="656"/>
      <c r="K12" s="656"/>
      <c r="L12" s="656"/>
      <c r="M12" s="743" t="s">
        <v>20</v>
      </c>
      <c r="N12" s="691">
        <f>SUM(N11:N11)</f>
        <v>7.7197276800000006E-2</v>
      </c>
      <c r="O12" s="652"/>
    </row>
    <row r="13" spans="1:17" ht="14.45" x14ac:dyDescent="0.3">
      <c r="A13" s="653"/>
      <c r="B13" s="648"/>
      <c r="C13" s="648"/>
      <c r="D13" s="648"/>
      <c r="E13" s="648"/>
      <c r="F13" s="648"/>
      <c r="G13" s="648"/>
      <c r="H13" s="648"/>
      <c r="I13" s="648"/>
      <c r="J13" s="648"/>
      <c r="K13" s="648"/>
      <c r="L13" s="648"/>
      <c r="M13" s="648"/>
      <c r="N13" s="648"/>
      <c r="O13" s="652"/>
      <c r="Q13" s="704"/>
    </row>
    <row r="14" spans="1:17" ht="14.45" x14ac:dyDescent="0.3">
      <c r="A14" s="821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7" ht="14.45" x14ac:dyDescent="0.3">
      <c r="A15" s="436">
        <v>10</v>
      </c>
      <c r="B15" s="227" t="s">
        <v>251</v>
      </c>
      <c r="C15" s="438"/>
      <c r="D15" s="437">
        <v>0.4</v>
      </c>
      <c r="E15" s="436" t="s">
        <v>76</v>
      </c>
      <c r="F15" s="436">
        <v>1</v>
      </c>
      <c r="G15" s="436"/>
      <c r="H15" s="436"/>
      <c r="I15" s="435">
        <f>IF(H15="",D15*F15,D15*F15*H15)</f>
        <v>0.4</v>
      </c>
      <c r="J15" s="400"/>
      <c r="K15" s="400"/>
      <c r="L15" s="400"/>
      <c r="M15" s="400"/>
      <c r="N15" s="400"/>
      <c r="O15" s="95"/>
    </row>
    <row r="16" spans="1:17" ht="14.45" x14ac:dyDescent="0.3">
      <c r="A16" s="657"/>
      <c r="B16" s="656"/>
      <c r="C16" s="656"/>
      <c r="D16" s="656"/>
      <c r="E16" s="656"/>
      <c r="F16" s="656"/>
      <c r="G16" s="656"/>
      <c r="H16" s="692" t="s">
        <v>20</v>
      </c>
      <c r="I16" s="691">
        <f>SUM(I15:I15)</f>
        <v>0.4</v>
      </c>
      <c r="J16" s="656"/>
      <c r="K16" s="656"/>
      <c r="L16" s="656"/>
      <c r="M16" s="656"/>
      <c r="N16" s="656"/>
      <c r="O16" s="652"/>
    </row>
    <row r="17" spans="1:15" thickBot="1" x14ac:dyDescent="0.35">
      <c r="A17" s="651"/>
      <c r="B17" s="650"/>
      <c r="C17" s="650"/>
      <c r="D17" s="650"/>
      <c r="E17" s="650"/>
      <c r="F17" s="650"/>
      <c r="G17" s="650"/>
      <c r="H17" s="650"/>
      <c r="I17" s="650"/>
      <c r="J17" s="650"/>
      <c r="K17" s="650"/>
      <c r="L17" s="650"/>
      <c r="M17" s="650"/>
      <c r="N17" s="650"/>
      <c r="O17" s="649"/>
    </row>
  </sheetData>
  <hyperlinks>
    <hyperlink ref="E3" location="dSU_04007" display="Drawing"/>
    <hyperlink ref="G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69" fitToHeight="99" orientation="landscape" horizontalDpi="1200" verticalDpi="1200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J15" sqref="J15"/>
    </sheetView>
  </sheetViews>
  <sheetFormatPr baseColWidth="10" defaultColWidth="11.42578125" defaultRowHeight="15" x14ac:dyDescent="0.25"/>
  <cols>
    <col min="1" max="1" width="20" style="647" customWidth="1"/>
    <col min="2" max="16384" width="11.42578125" style="647"/>
  </cols>
  <sheetData>
    <row r="1" spans="1:2" x14ac:dyDescent="0.3">
      <c r="A1" s="647" t="s">
        <v>89</v>
      </c>
      <c r="B1" s="60" t="s">
        <v>331</v>
      </c>
    </row>
  </sheetData>
  <hyperlinks>
    <hyperlink ref="B1" location="SU_04007" display="SU_04006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23.42578125" style="103" customWidth="1"/>
    <col min="3" max="3" width="16.140625" style="103" customWidth="1"/>
    <col min="4" max="6" width="11.5703125" style="103"/>
    <col min="7" max="7" width="17" style="103" customWidth="1"/>
    <col min="8" max="8" width="11.5703125" style="103"/>
    <col min="9" max="9" width="13.28515625" style="103" customWidth="1"/>
    <col min="10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68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1.3905750000000001</v>
      </c>
      <c r="O2" s="451"/>
    </row>
    <row r="3" spans="1:15" ht="14.45" x14ac:dyDescent="0.3">
      <c r="A3" s="500" t="s">
        <v>5</v>
      </c>
      <c r="B3" s="684" t="str">
        <f>'SU A0400'!B3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58" t="s">
        <v>318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257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1.3905750000000001</v>
      </c>
      <c r="O5" s="451"/>
    </row>
    <row r="6" spans="1:15" ht="14.45" x14ac:dyDescent="0.3">
      <c r="A6" s="500" t="s">
        <v>9</v>
      </c>
      <c r="B6" s="503" t="s">
        <v>333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28.9" customHeight="1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4.710000000000001E-2</v>
      </c>
      <c r="F11" s="491" t="s">
        <v>43</v>
      </c>
      <c r="G11" s="491"/>
      <c r="H11" s="488"/>
      <c r="I11" s="490" t="s">
        <v>332</v>
      </c>
      <c r="J11" s="489">
        <f>0.05*0.024</f>
        <v>1.2000000000000001E-3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0.10597500000000001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2.4000000000000002E-3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2.4E-2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0.12997500000000001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30" customHeight="1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474">
        <v>15.3</v>
      </c>
      <c r="G17" s="460"/>
      <c r="H17" s="459"/>
      <c r="I17" s="473">
        <f>IF(H17="",D17*F17,D17*F17*H17)</f>
        <v>0.153</v>
      </c>
      <c r="J17" s="470"/>
      <c r="K17" s="469"/>
      <c r="L17" s="469"/>
      <c r="M17" s="469"/>
      <c r="N17" s="469"/>
      <c r="O17" s="451"/>
    </row>
    <row r="18" spans="1:15" ht="31.15" customHeight="1" x14ac:dyDescent="0.3">
      <c r="A18" s="822">
        <v>30</v>
      </c>
      <c r="B18" s="472" t="s">
        <v>81</v>
      </c>
      <c r="C18" s="466"/>
      <c r="D18" s="467">
        <v>0.65</v>
      </c>
      <c r="E18" s="466" t="s">
        <v>24</v>
      </c>
      <c r="F18" s="466">
        <v>1</v>
      </c>
      <c r="G18" s="471" t="s">
        <v>117</v>
      </c>
      <c r="H18" s="466">
        <v>0.5</v>
      </c>
      <c r="I18" s="458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ht="14.45" x14ac:dyDescent="0.3">
      <c r="A19" s="823">
        <v>40</v>
      </c>
      <c r="B19" s="466" t="s">
        <v>80</v>
      </c>
      <c r="C19" s="466" t="s">
        <v>255</v>
      </c>
      <c r="D19" s="467">
        <v>0.04</v>
      </c>
      <c r="E19" s="466" t="s">
        <v>79</v>
      </c>
      <c r="F19" s="466">
        <v>1</v>
      </c>
      <c r="G19" s="466" t="s">
        <v>95</v>
      </c>
      <c r="H19" s="466">
        <v>3</v>
      </c>
      <c r="I19" s="458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ht="14.45" x14ac:dyDescent="0.3">
      <c r="A20" s="822">
        <v>50</v>
      </c>
      <c r="B20" s="460" t="s">
        <v>74</v>
      </c>
      <c r="C20" s="463" t="s">
        <v>123</v>
      </c>
      <c r="D20" s="462">
        <v>5.25</v>
      </c>
      <c r="E20" s="460" t="s">
        <v>73</v>
      </c>
      <c r="F20" s="461">
        <f>2*J11</f>
        <v>2.4000000000000002E-3</v>
      </c>
      <c r="G20" s="460"/>
      <c r="H20" s="459"/>
      <c r="I20" s="458">
        <f>F20*D20</f>
        <v>1.2600000000000002E-2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1.2606000000000002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E3" location="dSU_04008" display="Drawing"/>
    <hyperlink ref="F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72" fitToHeight="99" orientation="landscape" horizontalDpi="1200" verticalDpi="1200"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3.28515625" style="103" customWidth="1"/>
    <col min="2" max="16384" width="11.5703125" style="103"/>
  </cols>
  <sheetData>
    <row r="1" spans="1:2" x14ac:dyDescent="0.3">
      <c r="A1" s="647" t="s">
        <v>89</v>
      </c>
      <c r="B1" s="60" t="s">
        <v>334</v>
      </c>
    </row>
  </sheetData>
  <hyperlinks>
    <hyperlink ref="B1" location="SU_04008" display="SU_04008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0" zoomScaleNormal="8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33.85546875" style="103" customWidth="1"/>
    <col min="3" max="3" width="17.140625" style="103" customWidth="1"/>
    <col min="4" max="4" width="11.5703125" style="103"/>
    <col min="5" max="5" width="10.28515625" style="103" customWidth="1"/>
    <col min="6" max="16384" width="11.57031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N12+I16</f>
        <v>7.1887787999999988</v>
      </c>
      <c r="O2" s="107"/>
    </row>
    <row r="3" spans="1:15" ht="14.45" x14ac:dyDescent="0.3">
      <c r="A3" s="377" t="s">
        <v>5</v>
      </c>
      <c r="B3" s="104" t="str">
        <f>'SU A0100'!B3</f>
        <v>Suspension &amp; Shocks</v>
      </c>
      <c r="C3" s="105"/>
      <c r="D3" s="377" t="s">
        <v>8</v>
      </c>
      <c r="E3" s="103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1</v>
      </c>
      <c r="O3" s="107"/>
    </row>
    <row r="4" spans="1:15" ht="14.45" x14ac:dyDescent="0.3">
      <c r="A4" s="377" t="s">
        <v>7</v>
      </c>
      <c r="B4" s="58" t="str">
        <f>'SU A0100'!B4</f>
        <v>Upper Front A-arm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5" ht="14.45" x14ac:dyDescent="0.3">
      <c r="A5" s="377" t="s">
        <v>17</v>
      </c>
      <c r="B5" s="71" t="s">
        <v>244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7.1887787999999988</v>
      </c>
      <c r="O5" s="107"/>
    </row>
    <row r="6" spans="1:15" ht="14.45" x14ac:dyDescent="0.3">
      <c r="A6" s="377" t="s">
        <v>9</v>
      </c>
      <c r="B6" s="109" t="s">
        <v>243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5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5" ht="14.45" x14ac:dyDescent="0.3">
      <c r="A11" s="374">
        <v>10</v>
      </c>
      <c r="B11" s="427" t="s">
        <v>118</v>
      </c>
      <c r="C11" s="428" t="s">
        <v>119</v>
      </c>
      <c r="D11" s="413">
        <v>200</v>
      </c>
      <c r="E11" s="372">
        <f>J11*K11*L11</f>
        <v>3.1950127999999994E-2</v>
      </c>
      <c r="F11" s="373" t="s">
        <v>153</v>
      </c>
      <c r="G11" s="373"/>
      <c r="H11" s="168"/>
      <c r="I11" s="372" t="s">
        <v>239</v>
      </c>
      <c r="J11" s="65">
        <f>3.14*(0.008*0.008-0.006*0.006)</f>
        <v>8.7919999999999985E-5</v>
      </c>
      <c r="K11" s="53">
        <v>0.23</v>
      </c>
      <c r="L11" s="147">
        <v>1580</v>
      </c>
      <c r="M11" s="171">
        <v>1</v>
      </c>
      <c r="N11" s="167">
        <f>D11*M11*E11</f>
        <v>6.3900255999999986</v>
      </c>
      <c r="O11" s="112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6.3900255999999986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5" ht="14.45" x14ac:dyDescent="0.3">
      <c r="A15" s="427">
        <v>10</v>
      </c>
      <c r="B15" s="427" t="s">
        <v>120</v>
      </c>
      <c r="C15" s="427" t="s">
        <v>121</v>
      </c>
      <c r="D15" s="185">
        <v>25</v>
      </c>
      <c r="E15" s="177" t="s">
        <v>43</v>
      </c>
      <c r="F15" s="426">
        <f>J11*K11*L11</f>
        <v>3.1950127999999994E-2</v>
      </c>
      <c r="G15" s="322"/>
      <c r="H15" s="322"/>
      <c r="I15" s="186">
        <f>IF(H15="",D15*F15,D15*F15*H15)</f>
        <v>0.79875319999999983</v>
      </c>
      <c r="J15" s="122"/>
      <c r="K15" s="122"/>
      <c r="L15" s="122"/>
      <c r="M15" s="122"/>
      <c r="N15" s="122"/>
      <c r="O15" s="123"/>
    </row>
    <row r="16" spans="1:15" ht="14.45" x14ac:dyDescent="0.3">
      <c r="A16" s="114"/>
      <c r="B16" s="115"/>
      <c r="C16" s="115"/>
      <c r="D16" s="115"/>
      <c r="E16" s="115"/>
      <c r="F16" s="115"/>
      <c r="G16" s="115"/>
      <c r="H16" s="359" t="s">
        <v>20</v>
      </c>
      <c r="I16" s="358">
        <f>SUM(I15:I15)</f>
        <v>0.79875319999999983</v>
      </c>
      <c r="J16" s="115"/>
      <c r="K16" s="115"/>
      <c r="L16" s="115"/>
      <c r="M16" s="115"/>
      <c r="N16" s="115"/>
      <c r="O16" s="107"/>
    </row>
    <row r="17" spans="1:15" thickBot="1" x14ac:dyDescent="0.35">
      <c r="A17" s="118"/>
      <c r="B17" s="119"/>
      <c r="C17" s="119"/>
      <c r="D17" s="119"/>
      <c r="E17" s="119"/>
      <c r="F17" s="119"/>
      <c r="G17" s="119"/>
      <c r="H17" s="119"/>
      <c r="I17" s="119"/>
      <c r="J17" s="119"/>
      <c r="K17" s="119"/>
      <c r="L17" s="119"/>
      <c r="M17" s="119"/>
      <c r="N17" s="119"/>
      <c r="O17" s="120"/>
    </row>
  </sheetData>
  <hyperlinks>
    <hyperlink ref="B4" location="'SU A0100'!A1" display="'SU A0100'!A1"/>
    <hyperlink ref="G2" location="SU_A0100_BOM" display="Back to BOM"/>
  </hyperlinks>
  <pageMargins left="0.31496062992125984" right="0.31496062992125984" top="0.31496062992125984" bottom="0.39370078740157483" header="0.51181102362204722" footer="0.31496062992125984"/>
  <pageSetup paperSize="9" scale="71" fitToHeight="99" orientation="landscape" horizontalDpi="1200" verticalDpi="1200"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7.7109375" style="103" customWidth="1"/>
    <col min="3" max="3" width="16.7109375" style="103" customWidth="1"/>
    <col min="4" max="6" width="11.5703125" style="103"/>
    <col min="7" max="7" width="17.7109375" style="103" customWidth="1"/>
    <col min="8" max="8" width="11.5703125" style="103"/>
    <col min="9" max="9" width="14.7109375" style="103" customWidth="1"/>
    <col min="10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68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1.3814265000000003</v>
      </c>
      <c r="O2" s="451"/>
    </row>
    <row r="3" spans="1:15" ht="14.45" x14ac:dyDescent="0.3">
      <c r="A3" s="500" t="s">
        <v>5</v>
      </c>
      <c r="B3" s="684" t="str">
        <f>'SU A0400'!B3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58" t="s">
        <v>318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259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1.3814265000000003</v>
      </c>
      <c r="O5" s="451"/>
    </row>
    <row r="6" spans="1:15" ht="14.45" x14ac:dyDescent="0.3">
      <c r="A6" s="500" t="s">
        <v>9</v>
      </c>
      <c r="B6" s="503" t="s">
        <v>336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28.9" customHeight="1" x14ac:dyDescent="0.3">
      <c r="A11" s="497">
        <v>10</v>
      </c>
      <c r="B11" s="496" t="s">
        <v>112</v>
      </c>
      <c r="C11" s="495" t="s">
        <v>115</v>
      </c>
      <c r="D11" s="499">
        <v>2.25</v>
      </c>
      <c r="E11" s="498">
        <f>J11*K11*L11</f>
        <v>4.8042000000000008E-2</v>
      </c>
      <c r="F11" s="491" t="s">
        <v>43</v>
      </c>
      <c r="G11" s="491"/>
      <c r="H11" s="488"/>
      <c r="I11" s="490" t="s">
        <v>335</v>
      </c>
      <c r="J11" s="489">
        <f>0.051*0.024</f>
        <v>1.224E-3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0.1080945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2.4480000000000001E-3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2.4480000000000002E-2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0.13257449999999998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30" customHeight="1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645">
        <v>14.1</v>
      </c>
      <c r="G17" s="481"/>
      <c r="H17" s="479"/>
      <c r="I17" s="478">
        <f>IF(H17="",D17*F17,D17*F17*H17)</f>
        <v>0.14099999999999999</v>
      </c>
      <c r="J17" s="470"/>
      <c r="K17" s="469"/>
      <c r="L17" s="469"/>
      <c r="M17" s="469"/>
      <c r="N17" s="469"/>
      <c r="O17" s="451"/>
    </row>
    <row r="18" spans="1:15" ht="31.15" customHeight="1" x14ac:dyDescent="0.3">
      <c r="A18" s="464">
        <v>30</v>
      </c>
      <c r="B18" s="644" t="s">
        <v>81</v>
      </c>
      <c r="C18" s="642"/>
      <c r="D18" s="643">
        <v>0.65</v>
      </c>
      <c r="E18" s="642" t="s">
        <v>24</v>
      </c>
      <c r="F18" s="642">
        <v>1</v>
      </c>
      <c r="G18" s="480" t="s">
        <v>117</v>
      </c>
      <c r="H18" s="642">
        <v>0.5</v>
      </c>
      <c r="I18" s="641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ht="14.45" x14ac:dyDescent="0.3">
      <c r="A19" s="468">
        <v>40</v>
      </c>
      <c r="B19" s="642" t="s">
        <v>80</v>
      </c>
      <c r="C19" s="642" t="s">
        <v>255</v>
      </c>
      <c r="D19" s="643">
        <v>0.04</v>
      </c>
      <c r="E19" s="642" t="s">
        <v>79</v>
      </c>
      <c r="F19" s="642">
        <v>1</v>
      </c>
      <c r="G19" s="642" t="s">
        <v>95</v>
      </c>
      <c r="H19" s="642">
        <v>3</v>
      </c>
      <c r="I19" s="641">
        <f>IF(H19="",D19*F19,D19*F19*H19)</f>
        <v>0.12</v>
      </c>
      <c r="J19" s="465"/>
      <c r="K19" s="455"/>
      <c r="L19" s="455"/>
      <c r="M19" s="455"/>
      <c r="N19" s="455"/>
      <c r="O19" s="451"/>
    </row>
    <row r="20" spans="1:15" ht="14.45" x14ac:dyDescent="0.3">
      <c r="A20" s="464">
        <v>50</v>
      </c>
      <c r="B20" s="481" t="s">
        <v>74</v>
      </c>
      <c r="C20" s="477" t="s">
        <v>123</v>
      </c>
      <c r="D20" s="520">
        <v>5.25</v>
      </c>
      <c r="E20" s="481" t="s">
        <v>73</v>
      </c>
      <c r="F20" s="519">
        <f>2*J11</f>
        <v>2.4480000000000001E-3</v>
      </c>
      <c r="G20" s="481"/>
      <c r="H20" s="479"/>
      <c r="I20" s="641">
        <f>F20*D20</f>
        <v>1.2852000000000001E-2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1.2488520000000003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E3" location="dSU_04009" display="Drawing"/>
    <hyperlink ref="F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73" fitToHeight="99" orientation="landscape" horizontalDpi="1200" verticalDpi="1200"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337</v>
      </c>
    </row>
  </sheetData>
  <hyperlinks>
    <hyperlink ref="B1" location="SU_04009" display="SU_04009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18.28515625" style="103" customWidth="1"/>
    <col min="3" max="3" width="18.85546875" style="103" customWidth="1"/>
    <col min="4" max="6" width="11.5703125" style="103"/>
    <col min="7" max="7" width="18.7109375" style="103" customWidth="1"/>
    <col min="8" max="8" width="11.5703125" style="103"/>
    <col min="9" max="9" width="13.28515625" style="103" customWidth="1"/>
    <col min="10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68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1.8130709999999999</v>
      </c>
      <c r="O2" s="451"/>
    </row>
    <row r="3" spans="1:15" ht="14.45" x14ac:dyDescent="0.3">
      <c r="A3" s="500" t="s">
        <v>5</v>
      </c>
      <c r="B3" s="684" t="str">
        <f>'SU A0400'!B3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58" t="s">
        <v>318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261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1.8130709999999999</v>
      </c>
      <c r="O5" s="451"/>
    </row>
    <row r="6" spans="1:15" ht="14.45" x14ac:dyDescent="0.3">
      <c r="A6" s="500" t="s">
        <v>9</v>
      </c>
      <c r="B6" s="503" t="s">
        <v>339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28.9" x14ac:dyDescent="0.3">
      <c r="A11" s="824">
        <v>10</v>
      </c>
      <c r="B11" s="496" t="s">
        <v>112</v>
      </c>
      <c r="C11" s="495" t="s">
        <v>115</v>
      </c>
      <c r="D11" s="499">
        <v>2.25</v>
      </c>
      <c r="E11" s="498">
        <f>J11*K11*L11</f>
        <v>0.107388</v>
      </c>
      <c r="F11" s="491" t="s">
        <v>43</v>
      </c>
      <c r="G11" s="491"/>
      <c r="H11" s="488"/>
      <c r="I11" s="490" t="s">
        <v>338</v>
      </c>
      <c r="J11" s="489">
        <f>0.038*0.072</f>
        <v>2.7359999999999997E-3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0.24162299999999995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5.4719999999999994E-3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5.4719999999999991E-2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0.29634299999999991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28.9" x14ac:dyDescent="0.3">
      <c r="A16" s="464">
        <v>10</v>
      </c>
      <c r="B16" s="481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645">
        <v>27.3</v>
      </c>
      <c r="G17" s="481"/>
      <c r="H17" s="479"/>
      <c r="I17" s="478">
        <f>IF(H17="",D17*F17,D17*F17*H17)</f>
        <v>0.27300000000000002</v>
      </c>
      <c r="J17" s="470"/>
      <c r="K17" s="469"/>
      <c r="L17" s="469"/>
      <c r="M17" s="469"/>
      <c r="N17" s="469"/>
      <c r="O17" s="451"/>
    </row>
    <row r="18" spans="1:15" ht="28.9" x14ac:dyDescent="0.3">
      <c r="A18" s="464">
        <v>30</v>
      </c>
      <c r="B18" s="644" t="s">
        <v>81</v>
      </c>
      <c r="C18" s="642"/>
      <c r="D18" s="643">
        <v>0.65</v>
      </c>
      <c r="E18" s="642" t="s">
        <v>24</v>
      </c>
      <c r="F18" s="642">
        <v>1</v>
      </c>
      <c r="G18" s="480" t="s">
        <v>117</v>
      </c>
      <c r="H18" s="642">
        <v>0.5</v>
      </c>
      <c r="I18" s="641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ht="14.45" x14ac:dyDescent="0.3">
      <c r="A19" s="468">
        <v>40</v>
      </c>
      <c r="B19" s="642" t="s">
        <v>80</v>
      </c>
      <c r="C19" s="642" t="s">
        <v>255</v>
      </c>
      <c r="D19" s="643">
        <v>0.04</v>
      </c>
      <c r="E19" s="642" t="s">
        <v>79</v>
      </c>
      <c r="F19" s="642">
        <v>2</v>
      </c>
      <c r="G19" s="642" t="s">
        <v>95</v>
      </c>
      <c r="H19" s="642">
        <v>3</v>
      </c>
      <c r="I19" s="641">
        <f>IF(H19="",D19*F19,D19*F19*H19)</f>
        <v>0.24</v>
      </c>
      <c r="J19" s="465"/>
      <c r="K19" s="455"/>
      <c r="L19" s="455"/>
      <c r="M19" s="455"/>
      <c r="N19" s="455"/>
      <c r="O19" s="451"/>
    </row>
    <row r="20" spans="1:15" ht="14.45" x14ac:dyDescent="0.3">
      <c r="A20" s="464">
        <v>50</v>
      </c>
      <c r="B20" s="481" t="s">
        <v>74</v>
      </c>
      <c r="C20" s="477" t="s">
        <v>123</v>
      </c>
      <c r="D20" s="520">
        <v>5.25</v>
      </c>
      <c r="E20" s="481" t="s">
        <v>73</v>
      </c>
      <c r="F20" s="519">
        <f>2*J11</f>
        <v>5.4719999999999994E-3</v>
      </c>
      <c r="G20" s="481"/>
      <c r="H20" s="479"/>
      <c r="I20" s="641">
        <f>F20*D20</f>
        <v>2.8727999999999997E-2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1.5167280000000001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E3" location="dSU_04010" display="Drawing"/>
    <hyperlink ref="F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72" fitToHeight="99" orientation="landscape" horizontalDpi="1200" verticalDpi="1200"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340</v>
      </c>
    </row>
  </sheetData>
  <hyperlinks>
    <hyperlink ref="B1" location="SU_04010" display="SU_04010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20.7109375" style="103" customWidth="1"/>
    <col min="3" max="3" width="19.7109375" style="103" customWidth="1"/>
    <col min="4" max="6" width="11.5703125" style="103"/>
    <col min="7" max="7" width="16.7109375" style="103" customWidth="1"/>
    <col min="8" max="8" width="11.5703125" style="103"/>
    <col min="9" max="9" width="13.7109375" style="103" customWidth="1"/>
    <col min="10" max="16384" width="11.5703125" style="103"/>
  </cols>
  <sheetData>
    <row r="1" spans="1:15" ht="14.45" x14ac:dyDescent="0.3">
      <c r="A1" s="512"/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  <c r="O1" s="510"/>
    </row>
    <row r="2" spans="1:15" ht="14.45" x14ac:dyDescent="0.3">
      <c r="A2" s="500" t="s">
        <v>0</v>
      </c>
      <c r="B2" s="684" t="s">
        <v>1</v>
      </c>
      <c r="C2" s="469"/>
      <c r="D2" s="469"/>
      <c r="E2" s="469"/>
      <c r="F2" s="58" t="s">
        <v>2</v>
      </c>
      <c r="G2" s="469"/>
      <c r="H2" s="469"/>
      <c r="I2" s="469"/>
      <c r="J2" s="502" t="s">
        <v>3</v>
      </c>
      <c r="K2" s="509">
        <v>81</v>
      </c>
      <c r="L2" s="469"/>
      <c r="M2" s="505" t="s">
        <v>18</v>
      </c>
      <c r="N2" s="504">
        <f>N13+I21</f>
        <v>1.9015070000000001</v>
      </c>
      <c r="O2" s="451"/>
    </row>
    <row r="3" spans="1:15" ht="14.45" x14ac:dyDescent="0.3">
      <c r="A3" s="500" t="s">
        <v>5</v>
      </c>
      <c r="B3" s="684" t="str">
        <f>'SU A0400'!B3</f>
        <v>Suspension &amp; Shocks</v>
      </c>
      <c r="C3" s="509"/>
      <c r="D3" s="420" t="s">
        <v>8</v>
      </c>
      <c r="E3" s="60" t="s">
        <v>84</v>
      </c>
      <c r="F3" s="469"/>
      <c r="G3" s="469"/>
      <c r="H3" s="469"/>
      <c r="I3" s="469"/>
      <c r="J3" s="469"/>
      <c r="K3" s="469"/>
      <c r="L3" s="469"/>
      <c r="M3" s="505" t="s">
        <v>6</v>
      </c>
      <c r="N3" s="508">
        <v>1</v>
      </c>
      <c r="O3" s="451"/>
    </row>
    <row r="4" spans="1:15" ht="14.45" x14ac:dyDescent="0.3">
      <c r="A4" s="500" t="s">
        <v>7</v>
      </c>
      <c r="B4" s="58" t="s">
        <v>318</v>
      </c>
      <c r="C4" s="469"/>
      <c r="D4" s="420" t="s">
        <v>10</v>
      </c>
      <c r="E4" s="80"/>
      <c r="F4" s="469"/>
      <c r="G4" s="469"/>
      <c r="H4" s="469"/>
      <c r="I4" s="469"/>
      <c r="J4" s="502" t="s">
        <v>8</v>
      </c>
      <c r="K4" s="469"/>
      <c r="L4" s="469"/>
      <c r="M4" s="469"/>
      <c r="N4" s="469"/>
      <c r="O4" s="451"/>
    </row>
    <row r="5" spans="1:15" ht="14.45" x14ac:dyDescent="0.3">
      <c r="A5" s="500" t="s">
        <v>17</v>
      </c>
      <c r="B5" s="506" t="s">
        <v>263</v>
      </c>
      <c r="C5" s="469"/>
      <c r="D5" s="420" t="s">
        <v>14</v>
      </c>
      <c r="E5" s="80"/>
      <c r="F5" s="469"/>
      <c r="G5" s="469"/>
      <c r="H5" s="469"/>
      <c r="I5" s="469"/>
      <c r="J5" s="502" t="s">
        <v>10</v>
      </c>
      <c r="K5" s="469"/>
      <c r="L5" s="469"/>
      <c r="M5" s="505" t="s">
        <v>11</v>
      </c>
      <c r="N5" s="504">
        <f>N3*N2</f>
        <v>1.9015070000000001</v>
      </c>
      <c r="O5" s="451"/>
    </row>
    <row r="6" spans="1:15" ht="14.45" x14ac:dyDescent="0.3">
      <c r="A6" s="500" t="s">
        <v>9</v>
      </c>
      <c r="B6" s="503" t="s">
        <v>342</v>
      </c>
      <c r="C6" s="469"/>
      <c r="D6" s="469"/>
      <c r="E6" s="469"/>
      <c r="F6" s="469"/>
      <c r="G6" s="469"/>
      <c r="H6" s="469"/>
      <c r="I6" s="469"/>
      <c r="J6" s="502" t="s">
        <v>14</v>
      </c>
      <c r="K6" s="469"/>
      <c r="L6" s="469"/>
      <c r="M6" s="469"/>
      <c r="N6" s="469"/>
      <c r="O6" s="451"/>
    </row>
    <row r="7" spans="1:15" ht="14.45" x14ac:dyDescent="0.3">
      <c r="A7" s="500" t="s">
        <v>12</v>
      </c>
      <c r="B7" s="501" t="s">
        <v>13</v>
      </c>
      <c r="C7" s="469"/>
      <c r="D7" s="469"/>
      <c r="E7" s="469"/>
      <c r="F7" s="469"/>
      <c r="G7" s="469"/>
      <c r="H7" s="469"/>
      <c r="I7" s="469"/>
      <c r="J7" s="469"/>
      <c r="K7" s="469"/>
      <c r="L7" s="469"/>
      <c r="M7" s="469"/>
      <c r="N7" s="469"/>
      <c r="O7" s="451"/>
    </row>
    <row r="8" spans="1:15" ht="14.45" x14ac:dyDescent="0.3">
      <c r="A8" s="500" t="s">
        <v>15</v>
      </c>
      <c r="B8" s="469" t="s">
        <v>124</v>
      </c>
      <c r="C8" s="469"/>
      <c r="D8" s="469"/>
      <c r="E8" s="469"/>
      <c r="F8" s="469"/>
      <c r="G8" s="469"/>
      <c r="H8" s="469"/>
      <c r="I8" s="469"/>
      <c r="J8" s="469"/>
      <c r="K8" s="469"/>
      <c r="L8" s="469"/>
      <c r="M8" s="469"/>
      <c r="N8" s="469"/>
      <c r="O8" s="451"/>
    </row>
    <row r="9" spans="1:15" ht="14.45" x14ac:dyDescent="0.3">
      <c r="A9" s="484"/>
      <c r="B9" s="469"/>
      <c r="C9" s="469"/>
      <c r="D9" s="469"/>
      <c r="E9" s="469"/>
      <c r="F9" s="469"/>
      <c r="G9" s="469"/>
      <c r="H9" s="469"/>
      <c r="I9" s="469"/>
      <c r="J9" s="469"/>
      <c r="K9" s="469"/>
      <c r="L9" s="469"/>
      <c r="M9" s="469"/>
      <c r="N9" s="469"/>
      <c r="O9" s="451"/>
    </row>
    <row r="10" spans="1:15" ht="14.45" x14ac:dyDescent="0.3">
      <c r="A10" s="483" t="s">
        <v>16</v>
      </c>
      <c r="B10" s="482" t="s">
        <v>38</v>
      </c>
      <c r="C10" s="482" t="s">
        <v>22</v>
      </c>
      <c r="D10" s="482" t="s">
        <v>23</v>
      </c>
      <c r="E10" s="482" t="s">
        <v>31</v>
      </c>
      <c r="F10" s="482" t="s">
        <v>32</v>
      </c>
      <c r="G10" s="482" t="s">
        <v>33</v>
      </c>
      <c r="H10" s="482" t="s">
        <v>34</v>
      </c>
      <c r="I10" s="482" t="s">
        <v>39</v>
      </c>
      <c r="J10" s="482" t="s">
        <v>40</v>
      </c>
      <c r="K10" s="482" t="s">
        <v>41</v>
      </c>
      <c r="L10" s="482" t="s">
        <v>42</v>
      </c>
      <c r="M10" s="482" t="s">
        <v>19</v>
      </c>
      <c r="N10" s="482" t="s">
        <v>20</v>
      </c>
      <c r="O10" s="451"/>
    </row>
    <row r="11" spans="1:15" ht="28.9" x14ac:dyDescent="0.3">
      <c r="A11" s="824">
        <v>10</v>
      </c>
      <c r="B11" s="827" t="s">
        <v>112</v>
      </c>
      <c r="C11" s="495" t="s">
        <v>115</v>
      </c>
      <c r="D11" s="499">
        <v>2.25</v>
      </c>
      <c r="E11" s="498">
        <f>J11*K11*L11</f>
        <v>0.129996</v>
      </c>
      <c r="F11" s="491" t="s">
        <v>43</v>
      </c>
      <c r="G11" s="491"/>
      <c r="H11" s="488"/>
      <c r="I11" s="490" t="s">
        <v>341</v>
      </c>
      <c r="J11" s="489">
        <f>0.046*0.072</f>
        <v>3.3119999999999998E-3</v>
      </c>
      <c r="K11" s="489">
        <v>5.0000000000000001E-3</v>
      </c>
      <c r="L11" s="487">
        <v>7850</v>
      </c>
      <c r="M11" s="487">
        <v>1</v>
      </c>
      <c r="N11" s="486">
        <f>IF(J11="",D11*M11,D11*J11*K11*L11*M11)</f>
        <v>0.292491</v>
      </c>
      <c r="O11" s="451"/>
    </row>
    <row r="12" spans="1:15" ht="14.45" x14ac:dyDescent="0.3">
      <c r="A12" s="497">
        <v>20</v>
      </c>
      <c r="B12" s="496" t="s">
        <v>116</v>
      </c>
      <c r="C12" s="495"/>
      <c r="D12" s="494">
        <v>10</v>
      </c>
      <c r="E12" s="493">
        <f>2*J11</f>
        <v>6.6239999999999997E-3</v>
      </c>
      <c r="F12" s="492" t="s">
        <v>73</v>
      </c>
      <c r="G12" s="491"/>
      <c r="H12" s="488"/>
      <c r="I12" s="490"/>
      <c r="J12" s="489"/>
      <c r="K12" s="488"/>
      <c r="L12" s="487"/>
      <c r="M12" s="487"/>
      <c r="N12" s="486">
        <f>E12*D12</f>
        <v>6.6239999999999993E-2</v>
      </c>
      <c r="O12" s="451"/>
    </row>
    <row r="13" spans="1:15" ht="14.45" x14ac:dyDescent="0.3">
      <c r="A13" s="456"/>
      <c r="B13" s="455"/>
      <c r="C13" s="455"/>
      <c r="D13" s="455"/>
      <c r="E13" s="455"/>
      <c r="F13" s="455"/>
      <c r="G13" s="455"/>
      <c r="H13" s="455"/>
      <c r="I13" s="455"/>
      <c r="J13" s="455"/>
      <c r="K13" s="455"/>
      <c r="L13" s="455"/>
      <c r="M13" s="454" t="s">
        <v>20</v>
      </c>
      <c r="N13" s="485">
        <f>SUM(N11:N12)</f>
        <v>0.35873100000000002</v>
      </c>
      <c r="O13" s="451"/>
    </row>
    <row r="14" spans="1:15" ht="14.45" x14ac:dyDescent="0.3">
      <c r="A14" s="484"/>
      <c r="B14" s="469"/>
      <c r="C14" s="469"/>
      <c r="D14" s="469"/>
      <c r="E14" s="469"/>
      <c r="F14" s="469"/>
      <c r="G14" s="469"/>
      <c r="H14" s="469"/>
      <c r="I14" s="469"/>
      <c r="J14" s="469"/>
      <c r="K14" s="469"/>
      <c r="L14" s="469"/>
      <c r="M14" s="469"/>
      <c r="N14" s="469"/>
      <c r="O14" s="451"/>
    </row>
    <row r="15" spans="1:15" ht="14.45" x14ac:dyDescent="0.3">
      <c r="A15" s="483" t="s">
        <v>16</v>
      </c>
      <c r="B15" s="482" t="s">
        <v>21</v>
      </c>
      <c r="C15" s="482" t="s">
        <v>22</v>
      </c>
      <c r="D15" s="482" t="s">
        <v>23</v>
      </c>
      <c r="E15" s="482" t="s">
        <v>24</v>
      </c>
      <c r="F15" s="482" t="s">
        <v>19</v>
      </c>
      <c r="G15" s="482" t="s">
        <v>25</v>
      </c>
      <c r="H15" s="482" t="s">
        <v>26</v>
      </c>
      <c r="I15" s="482" t="s">
        <v>20</v>
      </c>
      <c r="J15" s="455"/>
      <c r="K15" s="455"/>
      <c r="L15" s="455"/>
      <c r="M15" s="455"/>
      <c r="N15" s="455"/>
      <c r="O15" s="451"/>
    </row>
    <row r="16" spans="1:15" ht="28.9" x14ac:dyDescent="0.3">
      <c r="A16" s="464">
        <v>10</v>
      </c>
      <c r="B16" s="826" t="s">
        <v>81</v>
      </c>
      <c r="C16" s="480" t="s">
        <v>122</v>
      </c>
      <c r="D16" s="476">
        <v>1.3</v>
      </c>
      <c r="E16" s="481" t="s">
        <v>24</v>
      </c>
      <c r="F16" s="470">
        <v>1</v>
      </c>
      <c r="G16" s="480" t="s">
        <v>117</v>
      </c>
      <c r="H16" s="479">
        <v>0.5</v>
      </c>
      <c r="I16" s="478">
        <f>H16*D16</f>
        <v>0.65</v>
      </c>
      <c r="J16" s="470"/>
      <c r="K16" s="469"/>
      <c r="L16" s="469"/>
      <c r="M16" s="469"/>
      <c r="N16" s="469"/>
      <c r="O16" s="451"/>
    </row>
    <row r="17" spans="1:15" ht="14.45" x14ac:dyDescent="0.3">
      <c r="A17" s="468">
        <v>20</v>
      </c>
      <c r="B17" s="475" t="s">
        <v>94</v>
      </c>
      <c r="C17" s="477"/>
      <c r="D17" s="476">
        <v>0.01</v>
      </c>
      <c r="E17" s="475" t="s">
        <v>76</v>
      </c>
      <c r="F17" s="645">
        <v>29.3</v>
      </c>
      <c r="G17" s="481"/>
      <c r="H17" s="479"/>
      <c r="I17" s="478">
        <f>IF(H17="",D17*F17,D17*F17*H17)</f>
        <v>0.29300000000000004</v>
      </c>
      <c r="J17" s="470"/>
      <c r="K17" s="469"/>
      <c r="L17" s="469"/>
      <c r="M17" s="469"/>
      <c r="N17" s="469"/>
      <c r="O17" s="451"/>
    </row>
    <row r="18" spans="1:15" ht="28.9" x14ac:dyDescent="0.3">
      <c r="A18" s="464">
        <v>30</v>
      </c>
      <c r="B18" s="644" t="s">
        <v>81</v>
      </c>
      <c r="C18" s="825"/>
      <c r="D18" s="643">
        <v>0.65</v>
      </c>
      <c r="E18" s="642" t="s">
        <v>24</v>
      </c>
      <c r="F18" s="642">
        <v>1</v>
      </c>
      <c r="G18" s="480" t="s">
        <v>117</v>
      </c>
      <c r="H18" s="642">
        <v>0.5</v>
      </c>
      <c r="I18" s="641">
        <f>IF(H18="",D18*F18,D18*F18*H18)</f>
        <v>0.32500000000000001</v>
      </c>
      <c r="J18" s="470"/>
      <c r="K18" s="469"/>
      <c r="L18" s="469"/>
      <c r="M18" s="469"/>
      <c r="N18" s="469"/>
      <c r="O18" s="451"/>
    </row>
    <row r="19" spans="1:15" ht="14.45" x14ac:dyDescent="0.3">
      <c r="A19" s="468">
        <v>40</v>
      </c>
      <c r="B19" s="642" t="s">
        <v>80</v>
      </c>
      <c r="C19" s="642" t="s">
        <v>255</v>
      </c>
      <c r="D19" s="643">
        <v>0.04</v>
      </c>
      <c r="E19" s="642" t="s">
        <v>79</v>
      </c>
      <c r="F19" s="642">
        <v>2</v>
      </c>
      <c r="G19" s="642" t="s">
        <v>95</v>
      </c>
      <c r="H19" s="642">
        <v>3</v>
      </c>
      <c r="I19" s="641">
        <f>IF(H19="",D19*F19,D19*F19*H19)</f>
        <v>0.24</v>
      </c>
      <c r="J19" s="465"/>
      <c r="K19" s="455"/>
      <c r="L19" s="455"/>
      <c r="M19" s="455"/>
      <c r="N19" s="455"/>
      <c r="O19" s="451"/>
    </row>
    <row r="20" spans="1:15" ht="14.45" x14ac:dyDescent="0.3">
      <c r="A20" s="464">
        <v>50</v>
      </c>
      <c r="B20" s="481" t="s">
        <v>74</v>
      </c>
      <c r="C20" s="646" t="s">
        <v>123</v>
      </c>
      <c r="D20" s="520">
        <v>5.25</v>
      </c>
      <c r="E20" s="481" t="s">
        <v>73</v>
      </c>
      <c r="F20" s="519">
        <f>2*J11</f>
        <v>6.6239999999999997E-3</v>
      </c>
      <c r="G20" s="481"/>
      <c r="H20" s="479"/>
      <c r="I20" s="641">
        <f>F20*D20</f>
        <v>3.4776000000000001E-2</v>
      </c>
      <c r="J20" s="457"/>
      <c r="K20" s="452"/>
      <c r="L20" s="452"/>
      <c r="M20" s="452"/>
      <c r="N20" s="452"/>
      <c r="O20" s="451"/>
    </row>
    <row r="21" spans="1:15" x14ac:dyDescent="0.25">
      <c r="A21" s="456"/>
      <c r="B21" s="455"/>
      <c r="C21" s="455"/>
      <c r="D21" s="455"/>
      <c r="E21" s="455"/>
      <c r="F21" s="455"/>
      <c r="G21" s="455"/>
      <c r="H21" s="454" t="s">
        <v>20</v>
      </c>
      <c r="I21" s="453">
        <f>SUM(I16:I20)</f>
        <v>1.5427759999999999</v>
      </c>
      <c r="J21" s="452"/>
      <c r="K21" s="452"/>
      <c r="L21" s="452"/>
      <c r="M21" s="452"/>
      <c r="N21" s="452"/>
      <c r="O21" s="451"/>
    </row>
    <row r="22" spans="1:15" ht="15.75" thickBot="1" x14ac:dyDescent="0.3">
      <c r="A22" s="450"/>
      <c r="B22" s="449"/>
      <c r="C22" s="449"/>
      <c r="D22" s="449"/>
      <c r="E22" s="449"/>
      <c r="F22" s="449"/>
      <c r="G22" s="449"/>
      <c r="H22" s="449"/>
      <c r="I22" s="449"/>
      <c r="J22" s="449"/>
      <c r="K22" s="449"/>
      <c r="L22" s="449"/>
      <c r="M22" s="449"/>
      <c r="N22" s="449"/>
      <c r="O22" s="448"/>
    </row>
  </sheetData>
  <hyperlinks>
    <hyperlink ref="E3" location="dSU_03008" display="Drawing"/>
    <hyperlink ref="F2" location="SU_A0400_BOM" display="Back to BOM"/>
    <hyperlink ref="B4" location="SU_A0400" display="Lower Back A-arm"/>
  </hyperlinks>
  <pageMargins left="0.31496062992125984" right="0.31496062992125984" top="0.31496062992125984" bottom="0.39370078740157483" header="0.51181102362204722" footer="0.31496062992125984"/>
  <pageSetup paperSize="9" scale="72" fitToHeight="99" orientation="landscape" horizontalDpi="1200" verticalDpi="1200"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6384" width="11.5703125" style="103"/>
  </cols>
  <sheetData>
    <row r="1" spans="1:2" x14ac:dyDescent="0.3">
      <c r="A1" s="103" t="s">
        <v>151</v>
      </c>
      <c r="B1" s="60" t="s">
        <v>343</v>
      </c>
    </row>
  </sheetData>
  <hyperlinks>
    <hyperlink ref="B1" location="SU_04011" display="SU_0401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5"/>
  <sheetViews>
    <sheetView topLeftCell="A2" zoomScale="70" zoomScaleNormal="70" zoomScaleSheetLayoutView="80" zoomScalePageLayoutView="70" workbookViewId="0">
      <selection activeCell="E19" sqref="E19"/>
    </sheetView>
  </sheetViews>
  <sheetFormatPr baseColWidth="10" defaultColWidth="9.140625" defaultRowHeight="15" x14ac:dyDescent="0.25"/>
  <cols>
    <col min="1" max="1" width="9.140625" style="103"/>
    <col min="2" max="2" width="28" style="103" customWidth="1"/>
    <col min="3" max="3" width="52.42578125" style="103" customWidth="1"/>
    <col min="4" max="4" width="9.7109375" style="103" bestFit="1" customWidth="1"/>
    <col min="5" max="14" width="9.140625" style="103"/>
    <col min="15" max="15" width="5.28515625" style="103" customWidth="1"/>
    <col min="16" max="16384" width="9.1406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856" t="s">
        <v>0</v>
      </c>
      <c r="B2" s="104" t="s">
        <v>1</v>
      </c>
      <c r="C2" s="105"/>
      <c r="D2" s="105"/>
      <c r="E2" s="58" t="s">
        <v>2</v>
      </c>
      <c r="F2" s="105"/>
      <c r="G2" s="105"/>
      <c r="H2" s="105"/>
      <c r="I2" s="105"/>
      <c r="J2" s="306" t="s">
        <v>3</v>
      </c>
      <c r="K2" s="106">
        <v>81</v>
      </c>
      <c r="L2" s="105"/>
      <c r="M2" s="306" t="s">
        <v>4</v>
      </c>
      <c r="N2" s="59">
        <f>SU_A0500_pa+SU_A0500_m+SU_A0500_p+SU_A0500_f+SU_A0500_t</f>
        <v>208.62063016572864</v>
      </c>
      <c r="O2" s="128"/>
    </row>
    <row r="3" spans="1:15" ht="14.45" x14ac:dyDescent="0.3">
      <c r="A3" s="856" t="s">
        <v>5</v>
      </c>
      <c r="B3" s="104" t="s">
        <v>106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306" t="s">
        <v>6</v>
      </c>
      <c r="N3" s="47">
        <v>2</v>
      </c>
      <c r="O3" s="128"/>
    </row>
    <row r="4" spans="1:15" ht="14.45" x14ac:dyDescent="0.3">
      <c r="A4" s="856" t="s">
        <v>7</v>
      </c>
      <c r="B4" s="129" t="s">
        <v>358</v>
      </c>
      <c r="C4" s="105"/>
      <c r="D4" s="105"/>
      <c r="E4" s="105"/>
      <c r="F4" s="105"/>
      <c r="G4" s="105"/>
      <c r="H4" s="105"/>
      <c r="I4" s="105"/>
      <c r="J4" s="357" t="s">
        <v>8</v>
      </c>
      <c r="K4" s="105"/>
      <c r="L4" s="105"/>
      <c r="M4" s="105"/>
      <c r="N4" s="105"/>
      <c r="O4" s="128"/>
    </row>
    <row r="5" spans="1:15" ht="14.45" x14ac:dyDescent="0.3">
      <c r="A5" s="856" t="s">
        <v>9</v>
      </c>
      <c r="B5" s="108" t="s">
        <v>182</v>
      </c>
      <c r="C5" s="105"/>
      <c r="D5" s="105"/>
      <c r="E5" s="105"/>
      <c r="F5" s="105"/>
      <c r="G5" s="105"/>
      <c r="H5" s="105"/>
      <c r="I5" s="105"/>
      <c r="J5" s="357" t="s">
        <v>10</v>
      </c>
      <c r="K5" s="105"/>
      <c r="L5" s="105"/>
      <c r="M5" s="306" t="s">
        <v>11</v>
      </c>
      <c r="N5" s="46">
        <f>N2*N3</f>
        <v>417.24126033145728</v>
      </c>
      <c r="O5" s="128"/>
    </row>
    <row r="6" spans="1:15" ht="14.45" x14ac:dyDescent="0.3">
      <c r="A6" s="856" t="s">
        <v>12</v>
      </c>
      <c r="B6" s="104" t="s">
        <v>13</v>
      </c>
      <c r="C6" s="105"/>
      <c r="D6" s="105"/>
      <c r="E6" s="105"/>
      <c r="F6" s="105"/>
      <c r="G6" s="105"/>
      <c r="H6" s="105"/>
      <c r="I6" s="105"/>
      <c r="J6" s="357" t="s">
        <v>14</v>
      </c>
      <c r="K6" s="105"/>
      <c r="L6" s="105"/>
      <c r="M6" s="105"/>
      <c r="N6" s="105"/>
      <c r="O6" s="128"/>
    </row>
    <row r="7" spans="1:15" ht="14.45" x14ac:dyDescent="0.3">
      <c r="A7" s="856" t="s">
        <v>15</v>
      </c>
      <c r="B7" s="254" t="s">
        <v>357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28"/>
    </row>
    <row r="8" spans="1:15" ht="14.45" x14ac:dyDescent="0.3">
      <c r="A8" s="130"/>
      <c r="B8" s="105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28"/>
    </row>
    <row r="9" spans="1:15" ht="14.45" x14ac:dyDescent="0.3">
      <c r="A9" s="863" t="s">
        <v>16</v>
      </c>
      <c r="B9" s="317" t="s">
        <v>17</v>
      </c>
      <c r="C9" s="317" t="s">
        <v>18</v>
      </c>
      <c r="D9" s="317" t="s">
        <v>19</v>
      </c>
      <c r="E9" s="317" t="s">
        <v>20</v>
      </c>
      <c r="F9" s="105"/>
      <c r="G9" s="105"/>
      <c r="H9" s="105"/>
      <c r="I9" s="105"/>
      <c r="J9" s="105"/>
      <c r="K9" s="105"/>
      <c r="L9" s="105"/>
      <c r="M9" s="105"/>
      <c r="N9" s="105"/>
      <c r="O9" s="128"/>
    </row>
    <row r="10" spans="1:15" ht="14.45" x14ac:dyDescent="0.3">
      <c r="A10" s="1189">
        <v>10</v>
      </c>
      <c r="B10" s="1190" t="s">
        <v>356</v>
      </c>
      <c r="C10" s="238">
        <f>'SU 05001'!N2</f>
        <v>5.9234014172552163</v>
      </c>
      <c r="D10" s="1191">
        <f>SU_05001_q</f>
        <v>1</v>
      </c>
      <c r="E10" s="238">
        <f>C10*D10</f>
        <v>5.9234014172552163</v>
      </c>
      <c r="F10" s="105"/>
      <c r="G10" s="105"/>
      <c r="H10" s="105"/>
      <c r="I10" s="105"/>
      <c r="J10" s="105"/>
      <c r="K10" s="105"/>
      <c r="L10" s="105"/>
      <c r="M10" s="105"/>
      <c r="N10" s="105"/>
      <c r="O10" s="128"/>
    </row>
    <row r="11" spans="1:15" ht="14.45" x14ac:dyDescent="0.3">
      <c r="A11" s="130"/>
      <c r="B11" s="105"/>
      <c r="C11" s="105"/>
      <c r="D11" s="308" t="s">
        <v>20</v>
      </c>
      <c r="E11" s="307">
        <f>SUM(E10:E10)</f>
        <v>5.9234014172552163</v>
      </c>
      <c r="F11" s="129"/>
      <c r="G11" s="129"/>
      <c r="H11" s="129"/>
      <c r="I11" s="129"/>
      <c r="J11" s="129"/>
      <c r="K11" s="129"/>
      <c r="L11" s="129"/>
      <c r="M11" s="129"/>
      <c r="N11" s="129"/>
      <c r="O11" s="128"/>
    </row>
    <row r="12" spans="1:15" ht="14.45" x14ac:dyDescent="0.3">
      <c r="A12" s="130"/>
      <c r="B12" s="105"/>
      <c r="C12" s="105"/>
      <c r="D12" s="105"/>
      <c r="E12" s="105"/>
      <c r="F12" s="105"/>
      <c r="G12" s="105"/>
      <c r="H12" s="105"/>
      <c r="I12" s="105"/>
      <c r="J12" s="105"/>
      <c r="K12" s="105"/>
      <c r="L12" s="105"/>
      <c r="M12" s="105"/>
      <c r="N12" s="105"/>
      <c r="O12" s="128"/>
    </row>
    <row r="13" spans="1:15" ht="14.45" x14ac:dyDescent="0.3">
      <c r="A13" s="863" t="s">
        <v>16</v>
      </c>
      <c r="B13" s="317" t="s">
        <v>38</v>
      </c>
      <c r="C13" s="317" t="s">
        <v>22</v>
      </c>
      <c r="D13" s="317" t="s">
        <v>23</v>
      </c>
      <c r="E13" s="317" t="s">
        <v>31</v>
      </c>
      <c r="F13" s="317" t="s">
        <v>32</v>
      </c>
      <c r="G13" s="317" t="s">
        <v>33</v>
      </c>
      <c r="H13" s="317" t="s">
        <v>34</v>
      </c>
      <c r="I13" s="317" t="s">
        <v>39</v>
      </c>
      <c r="J13" s="317" t="s">
        <v>40</v>
      </c>
      <c r="K13" s="317" t="s">
        <v>41</v>
      </c>
      <c r="L13" s="317" t="s">
        <v>42</v>
      </c>
      <c r="M13" s="317" t="s">
        <v>19</v>
      </c>
      <c r="N13" s="317" t="s">
        <v>20</v>
      </c>
      <c r="O13" s="128"/>
    </row>
    <row r="14" spans="1:15" ht="14.45" x14ac:dyDescent="0.3">
      <c r="A14" s="1222">
        <v>10</v>
      </c>
      <c r="B14" s="1223" t="s">
        <v>540</v>
      </c>
      <c r="C14" s="1224"/>
      <c r="D14" s="1225">
        <v>175</v>
      </c>
      <c r="E14" s="1224"/>
      <c r="F14" s="1224" t="s">
        <v>72</v>
      </c>
      <c r="G14" s="1224"/>
      <c r="H14" s="1226"/>
      <c r="I14" s="1227"/>
      <c r="J14" s="1228"/>
      <c r="K14" s="1226"/>
      <c r="L14" s="1226"/>
      <c r="M14" s="1229">
        <v>1</v>
      </c>
      <c r="N14" s="1230">
        <f>D14*M14</f>
        <v>175</v>
      </c>
      <c r="O14" s="128"/>
    </row>
    <row r="15" spans="1:15" s="113" customFormat="1" ht="14.45" x14ac:dyDescent="0.3">
      <c r="A15" s="1189">
        <v>20</v>
      </c>
      <c r="B15" s="237" t="s">
        <v>125</v>
      </c>
      <c r="C15" s="1194"/>
      <c r="D15" s="238">
        <v>25</v>
      </c>
      <c r="E15" s="1195"/>
      <c r="F15" s="1195" t="s">
        <v>72</v>
      </c>
      <c r="G15" s="1195"/>
      <c r="H15" s="1192"/>
      <c r="I15" s="1196"/>
      <c r="J15" s="1197"/>
      <c r="K15" s="1198"/>
      <c r="L15" s="1199"/>
      <c r="M15" s="1193">
        <v>1</v>
      </c>
      <c r="N15" s="238">
        <f>D15*M15</f>
        <v>25</v>
      </c>
      <c r="O15" s="142"/>
    </row>
    <row r="16" spans="1:15" ht="14.45" x14ac:dyDescent="0.3">
      <c r="A16" s="1200">
        <v>30</v>
      </c>
      <c r="B16" s="239" t="s">
        <v>355</v>
      </c>
      <c r="C16" s="1201"/>
      <c r="D16" s="238">
        <v>0</v>
      </c>
      <c r="E16" s="1201"/>
      <c r="F16" s="1201" t="s">
        <v>72</v>
      </c>
      <c r="G16" s="1201"/>
      <c r="H16" s="1201"/>
      <c r="I16" s="1201"/>
      <c r="J16" s="1201"/>
      <c r="K16" s="1201"/>
      <c r="L16" s="1201"/>
      <c r="M16" s="1201">
        <v>2</v>
      </c>
      <c r="N16" s="238">
        <f>D16*M16</f>
        <v>0</v>
      </c>
      <c r="O16" s="128"/>
    </row>
    <row r="17" spans="1:15" ht="14.45" x14ac:dyDescent="0.3">
      <c r="A17" s="1200">
        <v>40</v>
      </c>
      <c r="B17" s="239" t="s">
        <v>75</v>
      </c>
      <c r="C17" s="1201" t="s">
        <v>354</v>
      </c>
      <c r="D17" s="238">
        <v>10</v>
      </c>
      <c r="E17" s="1201">
        <v>4.0000000000000001E-3</v>
      </c>
      <c r="F17" s="1201" t="s">
        <v>73</v>
      </c>
      <c r="G17" s="1201"/>
      <c r="H17" s="1201"/>
      <c r="I17" s="1201"/>
      <c r="J17" s="1201"/>
      <c r="K17" s="1201"/>
      <c r="L17" s="1201"/>
      <c r="M17" s="1201">
        <v>1</v>
      </c>
      <c r="N17" s="238">
        <f>D17*E17*M17</f>
        <v>0.04</v>
      </c>
      <c r="O17" s="128"/>
    </row>
    <row r="18" spans="1:15" ht="14.45" x14ac:dyDescent="0.3">
      <c r="A18" s="136"/>
      <c r="B18" s="115"/>
      <c r="C18" s="115"/>
      <c r="D18" s="115"/>
      <c r="E18" s="115"/>
      <c r="F18" s="115"/>
      <c r="G18" s="115"/>
      <c r="H18" s="115"/>
      <c r="I18" s="115"/>
      <c r="J18" s="115"/>
      <c r="K18" s="115"/>
      <c r="L18" s="115"/>
      <c r="M18" s="837" t="s">
        <v>20</v>
      </c>
      <c r="N18" s="307">
        <f>SUM(N14:N17)</f>
        <v>200.04</v>
      </c>
      <c r="O18" s="128"/>
    </row>
    <row r="19" spans="1:15" ht="14.45" x14ac:dyDescent="0.3">
      <c r="A19" s="130"/>
      <c r="B19" s="105"/>
      <c r="C19" s="105"/>
      <c r="D19" s="105"/>
      <c r="E19" s="105"/>
      <c r="F19" s="105"/>
      <c r="G19" s="105"/>
      <c r="H19" s="105"/>
      <c r="I19" s="105"/>
      <c r="J19" s="105"/>
      <c r="K19" s="105"/>
      <c r="L19" s="105"/>
      <c r="M19" s="105"/>
      <c r="N19" s="105"/>
      <c r="O19" s="128"/>
    </row>
    <row r="20" spans="1:15" s="124" customFormat="1" ht="14.45" x14ac:dyDescent="0.3">
      <c r="A20" s="856" t="s">
        <v>16</v>
      </c>
      <c r="B20" s="306" t="s">
        <v>21</v>
      </c>
      <c r="C20" s="306" t="s">
        <v>22</v>
      </c>
      <c r="D20" s="306" t="s">
        <v>23</v>
      </c>
      <c r="E20" s="306" t="s">
        <v>24</v>
      </c>
      <c r="F20" s="306" t="s">
        <v>19</v>
      </c>
      <c r="G20" s="306" t="s">
        <v>25</v>
      </c>
      <c r="H20" s="306" t="s">
        <v>26</v>
      </c>
      <c r="I20" s="306" t="s">
        <v>20</v>
      </c>
      <c r="J20" s="115"/>
      <c r="K20" s="115"/>
      <c r="L20" s="115"/>
      <c r="M20" s="115"/>
      <c r="N20" s="115"/>
      <c r="O20" s="132"/>
    </row>
    <row r="21" spans="1:15" s="124" customFormat="1" ht="14.45" x14ac:dyDescent="0.3">
      <c r="A21" s="1184">
        <v>10</v>
      </c>
      <c r="B21" s="263" t="s">
        <v>161</v>
      </c>
      <c r="C21" s="835" t="s">
        <v>353</v>
      </c>
      <c r="D21" s="835">
        <v>0.38</v>
      </c>
      <c r="E21" s="835" t="s">
        <v>76</v>
      </c>
      <c r="F21" s="835">
        <f>2*1.7</f>
        <v>3.4</v>
      </c>
      <c r="G21" s="835"/>
      <c r="H21" s="835"/>
      <c r="I21" s="2">
        <f t="shared" ref="I21:I30" si="0">IF(H21="",D21*F21,D21*F21*H21)</f>
        <v>1.292</v>
      </c>
      <c r="J21" s="115"/>
      <c r="K21" s="115"/>
      <c r="L21" s="115"/>
      <c r="M21" s="115"/>
      <c r="N21" s="115"/>
      <c r="O21" s="132"/>
    </row>
    <row r="22" spans="1:15" s="124" customFormat="1" ht="14.45" x14ac:dyDescent="0.3">
      <c r="A22" s="1202">
        <v>20</v>
      </c>
      <c r="B22" s="1203" t="s">
        <v>155</v>
      </c>
      <c r="C22" s="1203" t="s">
        <v>352</v>
      </c>
      <c r="D22" s="231">
        <v>5.25</v>
      </c>
      <c r="E22" s="1204" t="s">
        <v>73</v>
      </c>
      <c r="F22" s="1204">
        <v>4.0000000000000001E-3</v>
      </c>
      <c r="G22" s="835"/>
      <c r="H22" s="835"/>
      <c r="I22" s="2">
        <f t="shared" si="0"/>
        <v>2.1000000000000001E-2</v>
      </c>
      <c r="J22" s="115"/>
      <c r="K22" s="115"/>
      <c r="L22" s="115"/>
      <c r="M22" s="115"/>
      <c r="N22" s="115"/>
      <c r="O22" s="132"/>
    </row>
    <row r="23" spans="1:15" ht="14.45" x14ac:dyDescent="0.3">
      <c r="A23" s="1185">
        <v>30</v>
      </c>
      <c r="B23" s="263" t="s">
        <v>27</v>
      </c>
      <c r="C23" s="150" t="s">
        <v>351</v>
      </c>
      <c r="D23" s="2">
        <v>0.06</v>
      </c>
      <c r="E23" s="150" t="s">
        <v>72</v>
      </c>
      <c r="F23" s="150">
        <v>1</v>
      </c>
      <c r="G23" s="150"/>
      <c r="H23" s="150"/>
      <c r="I23" s="2">
        <f t="shared" si="0"/>
        <v>0.06</v>
      </c>
      <c r="J23" s="105"/>
      <c r="K23" s="105"/>
      <c r="L23" s="105"/>
      <c r="M23" s="105"/>
      <c r="N23" s="105"/>
      <c r="O23" s="128"/>
    </row>
    <row r="24" spans="1:15" ht="14.45" x14ac:dyDescent="0.3">
      <c r="A24" s="1186">
        <v>40</v>
      </c>
      <c r="B24" s="1187" t="s">
        <v>350</v>
      </c>
      <c r="C24" s="834" t="s">
        <v>349</v>
      </c>
      <c r="D24" s="252">
        <v>2</v>
      </c>
      <c r="E24" s="64" t="s">
        <v>72</v>
      </c>
      <c r="F24" s="150">
        <v>1</v>
      </c>
      <c r="G24" s="834"/>
      <c r="H24" s="834"/>
      <c r="I24" s="252">
        <f t="shared" si="0"/>
        <v>2</v>
      </c>
      <c r="J24" s="105"/>
      <c r="K24" s="105"/>
      <c r="L24" s="105"/>
      <c r="M24" s="105"/>
      <c r="N24" s="105"/>
      <c r="O24" s="128"/>
    </row>
    <row r="25" spans="1:15" ht="14.45" x14ac:dyDescent="0.3">
      <c r="A25" s="1188">
        <v>50</v>
      </c>
      <c r="B25" s="833" t="s">
        <v>97</v>
      </c>
      <c r="C25" s="833" t="s">
        <v>348</v>
      </c>
      <c r="D25" s="830">
        <v>0.06</v>
      </c>
      <c r="E25" s="831" t="s">
        <v>72</v>
      </c>
      <c r="F25" s="150">
        <v>1</v>
      </c>
      <c r="G25" s="831"/>
      <c r="H25" s="831"/>
      <c r="I25" s="830">
        <f t="shared" si="0"/>
        <v>0.06</v>
      </c>
      <c r="J25" s="105"/>
      <c r="K25" s="105"/>
      <c r="L25" s="105"/>
      <c r="M25" s="105"/>
      <c r="N25" s="105"/>
      <c r="O25" s="128"/>
    </row>
    <row r="26" spans="1:15" s="149" customFormat="1" ht="14.45" x14ac:dyDescent="0.3">
      <c r="A26" s="1188">
        <v>60</v>
      </c>
      <c r="B26" s="833" t="s">
        <v>97</v>
      </c>
      <c r="C26" s="833" t="s">
        <v>347</v>
      </c>
      <c r="D26" s="830">
        <v>0.06</v>
      </c>
      <c r="E26" s="831" t="s">
        <v>72</v>
      </c>
      <c r="F26" s="150">
        <v>1</v>
      </c>
      <c r="G26" s="831"/>
      <c r="H26" s="831"/>
      <c r="I26" s="830">
        <f t="shared" si="0"/>
        <v>0.06</v>
      </c>
      <c r="J26" s="129"/>
      <c r="K26" s="129"/>
      <c r="L26" s="129"/>
      <c r="M26" s="129"/>
      <c r="N26" s="129"/>
      <c r="O26" s="259"/>
    </row>
    <row r="27" spans="1:15" s="124" customFormat="1" ht="14.45" x14ac:dyDescent="0.3">
      <c r="A27" s="1188">
        <v>70</v>
      </c>
      <c r="B27" s="527" t="s">
        <v>101</v>
      </c>
      <c r="C27" s="833" t="s">
        <v>346</v>
      </c>
      <c r="D27" s="830">
        <v>0.12</v>
      </c>
      <c r="E27" s="831" t="s">
        <v>72</v>
      </c>
      <c r="F27" s="150">
        <v>1</v>
      </c>
      <c r="G27" s="831"/>
      <c r="H27" s="831"/>
      <c r="I27" s="830">
        <f t="shared" si="0"/>
        <v>0.12</v>
      </c>
      <c r="J27" s="129"/>
      <c r="K27" s="129"/>
      <c r="L27" s="129"/>
      <c r="M27" s="129"/>
      <c r="N27" s="129"/>
      <c r="O27" s="132"/>
    </row>
    <row r="28" spans="1:15" s="124" customFormat="1" ht="14.45" x14ac:dyDescent="0.3">
      <c r="A28" s="1188">
        <v>80</v>
      </c>
      <c r="B28" s="527" t="s">
        <v>101</v>
      </c>
      <c r="C28" s="833" t="s">
        <v>142</v>
      </c>
      <c r="D28" s="830">
        <v>0.12</v>
      </c>
      <c r="E28" s="831" t="s">
        <v>72</v>
      </c>
      <c r="F28" s="150">
        <v>1</v>
      </c>
      <c r="G28" s="831"/>
      <c r="H28" s="831"/>
      <c r="I28" s="830">
        <f t="shared" si="0"/>
        <v>0.12</v>
      </c>
      <c r="J28" s="129"/>
      <c r="K28" s="129"/>
      <c r="L28" s="129"/>
      <c r="M28" s="129"/>
      <c r="N28" s="129"/>
      <c r="O28" s="132"/>
    </row>
    <row r="29" spans="1:15" s="149" customFormat="1" ht="14.45" x14ac:dyDescent="0.3">
      <c r="A29" s="1188">
        <v>90</v>
      </c>
      <c r="B29" s="527" t="s">
        <v>28</v>
      </c>
      <c r="C29" s="833" t="s">
        <v>136</v>
      </c>
      <c r="D29" s="830">
        <v>0.75</v>
      </c>
      <c r="E29" s="832" t="s">
        <v>72</v>
      </c>
      <c r="F29" s="150">
        <v>1</v>
      </c>
      <c r="G29" s="831"/>
      <c r="H29" s="831"/>
      <c r="I29" s="830">
        <f t="shared" si="0"/>
        <v>0.75</v>
      </c>
      <c r="J29" s="129"/>
      <c r="K29" s="129"/>
      <c r="L29" s="129"/>
      <c r="M29" s="129"/>
      <c r="N29" s="129"/>
      <c r="O29" s="259"/>
    </row>
    <row r="30" spans="1:15" s="149" customFormat="1" ht="14.45" x14ac:dyDescent="0.3">
      <c r="A30" s="1188">
        <v>100</v>
      </c>
      <c r="B30" s="527" t="s">
        <v>137</v>
      </c>
      <c r="C30" s="833" t="s">
        <v>136</v>
      </c>
      <c r="D30" s="830">
        <v>0.25</v>
      </c>
      <c r="E30" s="832" t="s">
        <v>72</v>
      </c>
      <c r="F30" s="150">
        <v>1</v>
      </c>
      <c r="G30" s="831"/>
      <c r="H30" s="831"/>
      <c r="I30" s="830">
        <f t="shared" si="0"/>
        <v>0.25</v>
      </c>
      <c r="J30" s="129"/>
      <c r="K30" s="129"/>
      <c r="L30" s="129"/>
      <c r="M30" s="129"/>
      <c r="N30" s="129"/>
      <c r="O30" s="259"/>
    </row>
    <row r="31" spans="1:15" ht="14.45" x14ac:dyDescent="0.3">
      <c r="A31" s="136"/>
      <c r="B31" s="115"/>
      <c r="C31" s="115"/>
      <c r="D31" s="115"/>
      <c r="E31" s="115"/>
      <c r="F31" s="115"/>
      <c r="G31" s="115"/>
      <c r="H31" s="308" t="s">
        <v>20</v>
      </c>
      <c r="I31" s="307">
        <f>SUM(I23:I25)</f>
        <v>2.12</v>
      </c>
      <c r="J31" s="105"/>
      <c r="K31" s="105"/>
      <c r="L31" s="105"/>
      <c r="M31" s="105"/>
      <c r="N31" s="105"/>
      <c r="O31" s="128"/>
    </row>
    <row r="32" spans="1:15" ht="14.45" x14ac:dyDescent="0.3">
      <c r="A32" s="130"/>
      <c r="B32" s="105"/>
      <c r="C32" s="105"/>
      <c r="D32" s="105"/>
      <c r="E32" s="105"/>
      <c r="F32" s="105"/>
      <c r="G32" s="105"/>
      <c r="H32" s="105"/>
      <c r="I32" s="105"/>
      <c r="J32" s="105"/>
      <c r="K32" s="105"/>
      <c r="L32" s="105"/>
      <c r="M32" s="105"/>
      <c r="N32" s="105"/>
      <c r="O32" s="128"/>
    </row>
    <row r="33" spans="1:15" ht="14.45" x14ac:dyDescent="0.3">
      <c r="A33" s="856" t="s">
        <v>16</v>
      </c>
      <c r="B33" s="306" t="s">
        <v>30</v>
      </c>
      <c r="C33" s="306" t="s">
        <v>22</v>
      </c>
      <c r="D33" s="306" t="s">
        <v>23</v>
      </c>
      <c r="E33" s="306" t="s">
        <v>31</v>
      </c>
      <c r="F33" s="306" t="s">
        <v>32</v>
      </c>
      <c r="G33" s="306" t="s">
        <v>33</v>
      </c>
      <c r="H33" s="306" t="s">
        <v>34</v>
      </c>
      <c r="I33" s="306" t="s">
        <v>19</v>
      </c>
      <c r="J33" s="306" t="s">
        <v>20</v>
      </c>
      <c r="K33" s="105"/>
      <c r="L33" s="105"/>
      <c r="M33" s="105"/>
      <c r="N33" s="105"/>
      <c r="O33" s="128"/>
    </row>
    <row r="34" spans="1:15" x14ac:dyDescent="0.25">
      <c r="A34" s="133">
        <v>10</v>
      </c>
      <c r="B34" s="134" t="s">
        <v>71</v>
      </c>
      <c r="C34" s="134" t="s">
        <v>345</v>
      </c>
      <c r="D34" s="137">
        <f>0.8/105154*E34^2*G34*SQRT(G34)+0.003*EXP(0.319*E34)</f>
        <v>0.13931812332052654</v>
      </c>
      <c r="E34" s="49">
        <v>8</v>
      </c>
      <c r="F34" s="49" t="s">
        <v>35</v>
      </c>
      <c r="G34" s="49">
        <v>35</v>
      </c>
      <c r="H34" s="49" t="s">
        <v>35</v>
      </c>
      <c r="I34" s="47">
        <v>1</v>
      </c>
      <c r="J34" s="46">
        <f>I34*D34</f>
        <v>0.13931812332052654</v>
      </c>
      <c r="K34" s="105"/>
      <c r="L34" s="105"/>
      <c r="M34" s="105"/>
      <c r="N34" s="105"/>
      <c r="O34" s="128"/>
    </row>
    <row r="35" spans="1:15" x14ac:dyDescent="0.25">
      <c r="A35" s="133">
        <v>20</v>
      </c>
      <c r="B35" s="134" t="s">
        <v>37</v>
      </c>
      <c r="C35" s="134" t="s">
        <v>345</v>
      </c>
      <c r="D35" s="137">
        <v>0.01</v>
      </c>
      <c r="E35" s="134">
        <v>8</v>
      </c>
      <c r="F35" s="48" t="s">
        <v>35</v>
      </c>
      <c r="G35" s="134"/>
      <c r="H35" s="134"/>
      <c r="I35" s="47">
        <v>2</v>
      </c>
      <c r="J35" s="46">
        <f>I35*D35</f>
        <v>0.02</v>
      </c>
      <c r="K35" s="105"/>
      <c r="L35" s="105"/>
      <c r="M35" s="105"/>
      <c r="N35" s="105"/>
      <c r="O35" s="128"/>
    </row>
    <row r="36" spans="1:15" x14ac:dyDescent="0.25">
      <c r="A36" s="133">
        <v>30</v>
      </c>
      <c r="B36" s="134" t="s">
        <v>36</v>
      </c>
      <c r="C36" s="134" t="s">
        <v>345</v>
      </c>
      <c r="D36" s="137">
        <f>0.009*EXP(0.2*E36)</f>
        <v>4.4577291819556032E-2</v>
      </c>
      <c r="E36" s="134">
        <v>8</v>
      </c>
      <c r="F36" s="48" t="s">
        <v>35</v>
      </c>
      <c r="G36" s="134"/>
      <c r="H36" s="134"/>
      <c r="I36" s="47">
        <v>1</v>
      </c>
      <c r="J36" s="46">
        <f>I36*D36</f>
        <v>4.4577291819556032E-2</v>
      </c>
      <c r="K36" s="105"/>
      <c r="L36" s="105"/>
      <c r="M36" s="105"/>
      <c r="N36" s="105"/>
      <c r="O36" s="128"/>
    </row>
    <row r="37" spans="1:15" x14ac:dyDescent="0.25">
      <c r="A37" s="136"/>
      <c r="B37" s="115"/>
      <c r="C37" s="115"/>
      <c r="D37" s="115"/>
      <c r="E37" s="115"/>
      <c r="F37" s="115"/>
      <c r="G37" s="115"/>
      <c r="H37" s="115"/>
      <c r="I37" s="319" t="s">
        <v>20</v>
      </c>
      <c r="J37" s="318">
        <f>SUM(J34:J36)</f>
        <v>0.20389541514008255</v>
      </c>
      <c r="K37" s="105"/>
      <c r="L37" s="105"/>
      <c r="M37" s="105"/>
      <c r="N37" s="105"/>
      <c r="O37" s="128"/>
    </row>
    <row r="38" spans="1:15" x14ac:dyDescent="0.25">
      <c r="A38" s="130"/>
      <c r="B38" s="105"/>
      <c r="C38" s="105"/>
      <c r="D38" s="105"/>
      <c r="E38" s="105"/>
      <c r="F38" s="105"/>
      <c r="G38" s="105"/>
      <c r="H38" s="105"/>
      <c r="I38" s="105"/>
      <c r="J38" s="105"/>
      <c r="K38" s="105"/>
      <c r="L38" s="105"/>
      <c r="M38" s="105"/>
      <c r="N38" s="105"/>
      <c r="O38" s="128"/>
    </row>
    <row r="39" spans="1:15" x14ac:dyDescent="0.25">
      <c r="A39" s="856" t="s">
        <v>16</v>
      </c>
      <c r="B39" s="306" t="s">
        <v>70</v>
      </c>
      <c r="C39" s="306" t="s">
        <v>22</v>
      </c>
      <c r="D39" s="306" t="s">
        <v>23</v>
      </c>
      <c r="E39" s="306" t="s">
        <v>24</v>
      </c>
      <c r="F39" s="306" t="s">
        <v>19</v>
      </c>
      <c r="G39" s="306" t="s">
        <v>69</v>
      </c>
      <c r="H39" s="306" t="s">
        <v>68</v>
      </c>
      <c r="I39" s="306" t="s">
        <v>20</v>
      </c>
      <c r="J39" s="115"/>
      <c r="K39" s="105"/>
      <c r="L39" s="105"/>
      <c r="M39" s="105"/>
      <c r="N39" s="105"/>
      <c r="O39" s="128"/>
    </row>
    <row r="40" spans="1:15" x14ac:dyDescent="0.25">
      <c r="A40" s="133">
        <v>10</v>
      </c>
      <c r="B40" s="134" t="s">
        <v>67</v>
      </c>
      <c r="C40" s="829" t="s">
        <v>344</v>
      </c>
      <c r="D40" s="46">
        <v>500</v>
      </c>
      <c r="E40" s="134" t="s">
        <v>66</v>
      </c>
      <c r="F40" s="134">
        <v>2</v>
      </c>
      <c r="G40" s="134">
        <v>3000</v>
      </c>
      <c r="H40" s="134">
        <v>1</v>
      </c>
      <c r="I40" s="46">
        <f>D40*F40/G40*H40</f>
        <v>0.33333333333333331</v>
      </c>
      <c r="J40" s="115"/>
      <c r="K40" s="105"/>
      <c r="L40" s="105"/>
      <c r="M40" s="105"/>
      <c r="N40" s="105"/>
      <c r="O40" s="128"/>
    </row>
    <row r="41" spans="1:15" x14ac:dyDescent="0.25">
      <c r="A41" s="136"/>
      <c r="B41" s="115"/>
      <c r="C41" s="115"/>
      <c r="D41" s="115"/>
      <c r="E41" s="115"/>
      <c r="F41" s="115"/>
      <c r="G41" s="115"/>
      <c r="H41" s="308" t="s">
        <v>20</v>
      </c>
      <c r="I41" s="307">
        <f>SUM(I40:I40)</f>
        <v>0.33333333333333331</v>
      </c>
      <c r="J41" s="115"/>
      <c r="K41" s="105"/>
      <c r="L41" s="105"/>
      <c r="M41" s="105"/>
      <c r="N41" s="105"/>
      <c r="O41" s="128"/>
    </row>
    <row r="42" spans="1:15" ht="15.75" thickBot="1" x14ac:dyDescent="0.3">
      <c r="A42" s="138"/>
      <c r="B42" s="139"/>
      <c r="C42" s="139"/>
      <c r="D42" s="139"/>
      <c r="E42" s="139"/>
      <c r="F42" s="139"/>
      <c r="G42" s="139"/>
      <c r="H42" s="139"/>
      <c r="I42" s="139"/>
      <c r="J42" s="139"/>
      <c r="K42" s="139"/>
      <c r="L42" s="139"/>
      <c r="M42" s="139"/>
      <c r="N42" s="139"/>
      <c r="O42" s="140"/>
    </row>
    <row r="43" spans="1:15" x14ac:dyDescent="0.25">
      <c r="A43" s="105"/>
      <c r="B43" s="105"/>
      <c r="C43" s="105"/>
      <c r="D43" s="105"/>
      <c r="E43" s="105"/>
      <c r="F43" s="105"/>
      <c r="G43" s="105"/>
      <c r="H43" s="105"/>
      <c r="I43" s="105"/>
      <c r="J43" s="105"/>
      <c r="K43" s="105"/>
      <c r="L43" s="105"/>
      <c r="M43" s="105"/>
      <c r="N43" s="105"/>
    </row>
    <row r="46" spans="1:15" x14ac:dyDescent="0.25">
      <c r="B46" s="105"/>
      <c r="C46" s="828"/>
      <c r="D46" s="828"/>
      <c r="E46" s="105"/>
    </row>
    <row r="47" spans="1:15" x14ac:dyDescent="0.25">
      <c r="B47" s="105"/>
      <c r="C47" s="828"/>
      <c r="D47" s="828"/>
      <c r="E47" s="105"/>
    </row>
    <row r="48" spans="1:15" x14ac:dyDescent="0.25">
      <c r="B48" s="105"/>
      <c r="C48" s="187"/>
      <c r="D48" s="828"/>
      <c r="E48" s="105"/>
    </row>
    <row r="49" spans="2:5" x14ac:dyDescent="0.25">
      <c r="B49" s="105"/>
      <c r="C49" s="187"/>
      <c r="D49" s="828"/>
      <c r="E49" s="105"/>
    </row>
    <row r="50" spans="2:5" x14ac:dyDescent="0.25">
      <c r="B50" s="105"/>
      <c r="C50" s="187"/>
      <c r="D50" s="828"/>
      <c r="E50" s="105"/>
    </row>
    <row r="51" spans="2:5" x14ac:dyDescent="0.25">
      <c r="B51" s="105"/>
      <c r="C51" s="187"/>
      <c r="D51" s="828"/>
      <c r="E51" s="105"/>
    </row>
    <row r="52" spans="2:5" x14ac:dyDescent="0.25">
      <c r="B52" s="105"/>
      <c r="C52" s="187"/>
      <c r="D52" s="828"/>
      <c r="E52" s="105"/>
    </row>
    <row r="53" spans="2:5" x14ac:dyDescent="0.25">
      <c r="B53" s="105"/>
      <c r="C53" s="105"/>
      <c r="D53" s="105"/>
      <c r="E53" s="105"/>
    </row>
    <row r="54" spans="2:5" x14ac:dyDescent="0.25">
      <c r="B54" s="105"/>
      <c r="C54" s="105"/>
      <c r="D54" s="105"/>
      <c r="E54" s="105"/>
    </row>
    <row r="55" spans="2:5" x14ac:dyDescent="0.25">
      <c r="B55" s="105"/>
      <c r="C55" s="105"/>
      <c r="D55" s="105"/>
      <c r="E55" s="105"/>
    </row>
  </sheetData>
  <hyperlinks>
    <hyperlink ref="B10" location="SU_05001" display="Shock Front Bracket"/>
    <hyperlink ref="E2" location="SU_A0500_BOM" display="Back to BOM"/>
  </hyperlinks>
  <pageMargins left="0.31496062992125984" right="0.31496062992125984" top="0.31496062992125984" bottom="0.39370078740157483" header="0.51181102362204722" footer="0.31496062992125984"/>
  <pageSetup paperSize="9" scale="72" firstPageNumber="0" fitToHeight="99" orientation="landscape" horizontalDpi="1200" verticalDpi="1200" r:id="rId1"/>
  <rowBreaks count="1" manualBreakCount="1">
    <brk id="42" max="16383" man="1"/>
  </rowBreaks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03"/>
    <col min="2" max="2" width="17.140625" style="103" customWidth="1"/>
    <col min="3" max="3" width="19.140625" style="103" customWidth="1"/>
    <col min="4" max="6" width="9.140625" style="103"/>
    <col min="7" max="7" width="15.28515625" style="103" customWidth="1"/>
    <col min="8" max="8" width="9.140625" style="103"/>
    <col min="9" max="9" width="26.28515625" style="103" customWidth="1"/>
    <col min="10" max="10" width="12" style="103" bestFit="1" customWidth="1"/>
    <col min="11" max="14" width="9.140625" style="103"/>
    <col min="15" max="15" width="3.140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SU_05001_m+SU_05001_p</f>
        <v>5.9234014172552163</v>
      </c>
      <c r="O2" s="107"/>
    </row>
    <row r="3" spans="1:15" ht="14.45" x14ac:dyDescent="0.3">
      <c r="A3" s="377" t="s">
        <v>5</v>
      </c>
      <c r="B3" s="104" t="str">
        <f>'SU A0500'!B3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1</v>
      </c>
      <c r="O3" s="107"/>
    </row>
    <row r="4" spans="1:15" ht="14.45" x14ac:dyDescent="0.3">
      <c r="A4" s="377" t="s">
        <v>7</v>
      </c>
      <c r="B4" s="58" t="str">
        <f>'SU A0500'!B4</f>
        <v>Front suspension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5" ht="14.45" x14ac:dyDescent="0.3">
      <c r="A5" s="377" t="s">
        <v>17</v>
      </c>
      <c r="B5" s="108" t="s">
        <v>356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5.9234014172552163</v>
      </c>
      <c r="O5" s="107"/>
    </row>
    <row r="6" spans="1:15" ht="14.45" x14ac:dyDescent="0.3">
      <c r="A6" s="377" t="s">
        <v>9</v>
      </c>
      <c r="B6" s="103" t="s">
        <v>363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5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77" t="s">
        <v>15</v>
      </c>
      <c r="B8" s="104" t="s">
        <v>362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5" s="113" customFormat="1" x14ac:dyDescent="0.25">
      <c r="A11" s="243">
        <v>10</v>
      </c>
      <c r="B11" s="855" t="s">
        <v>110</v>
      </c>
      <c r="C11" s="373" t="s">
        <v>162</v>
      </c>
      <c r="D11" s="167">
        <v>2.25</v>
      </c>
      <c r="E11" s="854">
        <f>J11*K11*L11</f>
        <v>0.17182285211342935</v>
      </c>
      <c r="F11" s="373" t="s">
        <v>43</v>
      </c>
      <c r="G11" s="373"/>
      <c r="H11" s="168"/>
      <c r="I11" s="372" t="s">
        <v>361</v>
      </c>
      <c r="J11" s="853">
        <f>PI()*0.0155^2</f>
        <v>7.5476763502494771E-4</v>
      </c>
      <c r="K11" s="170">
        <v>2.9000000000000001E-2</v>
      </c>
      <c r="L11" s="852">
        <v>7850</v>
      </c>
      <c r="M11" s="175">
        <v>1</v>
      </c>
      <c r="N11" s="167">
        <f>E11*D11</f>
        <v>0.38660141725521602</v>
      </c>
      <c r="O11" s="112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0.38660141725521602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821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851"/>
      <c r="L14" s="115"/>
      <c r="M14" s="115"/>
      <c r="N14" s="115"/>
      <c r="O14" s="107"/>
    </row>
    <row r="15" spans="1:15" s="124" customFormat="1" ht="28.9" x14ac:dyDescent="0.3">
      <c r="A15" s="846">
        <v>10</v>
      </c>
      <c r="B15" s="842" t="s">
        <v>81</v>
      </c>
      <c r="C15" s="850" t="s">
        <v>103</v>
      </c>
      <c r="D15" s="849">
        <v>1.3</v>
      </c>
      <c r="E15" s="842" t="s">
        <v>72</v>
      </c>
      <c r="F15" s="848">
        <v>1</v>
      </c>
      <c r="G15" s="848"/>
      <c r="H15" s="368"/>
      <c r="I15" s="173">
        <f t="shared" ref="I15:I21" si="0">IF(H15="",D15*F15,D15*F15*H15)</f>
        <v>1.3</v>
      </c>
      <c r="J15" s="122"/>
      <c r="K15" s="122"/>
      <c r="L15" s="122"/>
      <c r="M15" s="122"/>
      <c r="N15" s="122"/>
      <c r="O15" s="123"/>
    </row>
    <row r="16" spans="1:15" ht="14.45" x14ac:dyDescent="0.3">
      <c r="A16" s="847">
        <v>20</v>
      </c>
      <c r="B16" s="842" t="s">
        <v>80</v>
      </c>
      <c r="C16" s="844" t="s">
        <v>359</v>
      </c>
      <c r="D16" s="845">
        <v>0.04</v>
      </c>
      <c r="E16" s="844" t="s">
        <v>79</v>
      </c>
      <c r="F16" s="843">
        <v>2.64</v>
      </c>
      <c r="G16" s="842" t="s">
        <v>167</v>
      </c>
      <c r="H16" s="262">
        <v>3</v>
      </c>
      <c r="I16" s="167">
        <f t="shared" si="0"/>
        <v>0.31680000000000003</v>
      </c>
      <c r="J16" s="105"/>
      <c r="K16" s="105"/>
      <c r="L16" s="105"/>
      <c r="M16" s="105"/>
      <c r="N16" s="105"/>
      <c r="O16" s="107"/>
    </row>
    <row r="17" spans="1:15" s="149" customFormat="1" ht="28.9" x14ac:dyDescent="0.3">
      <c r="A17" s="846">
        <v>30</v>
      </c>
      <c r="B17" s="842" t="s">
        <v>360</v>
      </c>
      <c r="C17" s="844"/>
      <c r="D17" s="845">
        <v>0.65</v>
      </c>
      <c r="E17" s="842"/>
      <c r="F17" s="844">
        <v>1</v>
      </c>
      <c r="G17" s="844"/>
      <c r="H17" s="262"/>
      <c r="I17" s="167">
        <f t="shared" si="0"/>
        <v>0.65</v>
      </c>
      <c r="J17" s="129"/>
      <c r="K17" s="129"/>
      <c r="L17" s="129"/>
      <c r="M17" s="129"/>
      <c r="N17" s="129"/>
      <c r="O17" s="148"/>
    </row>
    <row r="18" spans="1:15" ht="14.45" x14ac:dyDescent="0.3">
      <c r="A18" s="847">
        <v>40</v>
      </c>
      <c r="B18" s="842" t="s">
        <v>80</v>
      </c>
      <c r="C18" s="844" t="s">
        <v>359</v>
      </c>
      <c r="D18" s="845">
        <v>0.04</v>
      </c>
      <c r="E18" s="844" t="s">
        <v>79</v>
      </c>
      <c r="F18" s="843">
        <v>9.1999999999999993</v>
      </c>
      <c r="G18" s="842" t="s">
        <v>167</v>
      </c>
      <c r="H18" s="262">
        <v>3</v>
      </c>
      <c r="I18" s="167">
        <f t="shared" si="0"/>
        <v>1.1040000000000001</v>
      </c>
      <c r="J18" s="105"/>
      <c r="K18" s="105"/>
      <c r="L18" s="105"/>
      <c r="M18" s="105"/>
      <c r="N18" s="105"/>
      <c r="O18" s="107"/>
    </row>
    <row r="19" spans="1:15" ht="28.9" x14ac:dyDescent="0.3">
      <c r="A19" s="846">
        <v>50</v>
      </c>
      <c r="B19" s="842" t="s">
        <v>360</v>
      </c>
      <c r="C19" s="844"/>
      <c r="D19" s="845">
        <v>0.65</v>
      </c>
      <c r="E19" s="842"/>
      <c r="F19" s="844">
        <v>1</v>
      </c>
      <c r="G19" s="844"/>
      <c r="H19" s="262"/>
      <c r="I19" s="167">
        <f t="shared" si="0"/>
        <v>0.65</v>
      </c>
      <c r="J19" s="105"/>
      <c r="K19" s="105"/>
      <c r="L19" s="105"/>
      <c r="M19" s="105"/>
      <c r="N19" s="105"/>
      <c r="O19" s="107"/>
    </row>
    <row r="20" spans="1:15" ht="14.45" x14ac:dyDescent="0.3">
      <c r="A20" s="847">
        <v>60</v>
      </c>
      <c r="B20" s="842" t="s">
        <v>80</v>
      </c>
      <c r="C20" s="844" t="s">
        <v>359</v>
      </c>
      <c r="D20" s="845">
        <v>0.04</v>
      </c>
      <c r="E20" s="844" t="s">
        <v>79</v>
      </c>
      <c r="F20" s="843">
        <v>6.8</v>
      </c>
      <c r="G20" s="842" t="s">
        <v>167</v>
      </c>
      <c r="H20" s="262">
        <v>3</v>
      </c>
      <c r="I20" s="167">
        <f t="shared" si="0"/>
        <v>0.81600000000000006</v>
      </c>
      <c r="J20" s="105"/>
      <c r="K20" s="105"/>
      <c r="L20" s="105"/>
      <c r="M20" s="105"/>
      <c r="N20" s="105"/>
      <c r="O20" s="107"/>
    </row>
    <row r="21" spans="1:15" ht="28.9" x14ac:dyDescent="0.3">
      <c r="A21" s="846">
        <v>70</v>
      </c>
      <c r="B21" s="530" t="s">
        <v>45</v>
      </c>
      <c r="C21" s="844" t="s">
        <v>359</v>
      </c>
      <c r="D21" s="845">
        <v>0.35</v>
      </c>
      <c r="E21" s="844" t="s">
        <v>82</v>
      </c>
      <c r="F21" s="843">
        <v>2</v>
      </c>
      <c r="G21" s="842"/>
      <c r="H21" s="841"/>
      <c r="I21" s="261">
        <f t="shared" si="0"/>
        <v>0.7</v>
      </c>
      <c r="J21" s="105"/>
      <c r="K21" s="105"/>
      <c r="L21" s="105"/>
      <c r="M21" s="105"/>
      <c r="N21" s="105"/>
      <c r="O21" s="107"/>
    </row>
    <row r="22" spans="1:15" ht="14.45" x14ac:dyDescent="0.3">
      <c r="A22" s="114"/>
      <c r="B22" s="115"/>
      <c r="C22" s="115"/>
      <c r="D22" s="115"/>
      <c r="E22" s="115"/>
      <c r="F22" s="115"/>
      <c r="G22" s="115"/>
      <c r="H22" s="359" t="s">
        <v>20</v>
      </c>
      <c r="I22" s="358">
        <f>SUM(I15:I21)</f>
        <v>5.5368000000000004</v>
      </c>
      <c r="J22" s="115"/>
      <c r="K22" s="115"/>
      <c r="L22" s="115"/>
      <c r="M22" s="115"/>
      <c r="N22" s="115"/>
      <c r="O22" s="107"/>
    </row>
    <row r="23" spans="1:15" thickBot="1" x14ac:dyDescent="0.35">
      <c r="A23" s="118"/>
      <c r="B23" s="119"/>
      <c r="C23" s="119"/>
      <c r="D23" s="119"/>
      <c r="E23" s="119"/>
      <c r="F23" s="119"/>
      <c r="G23" s="119"/>
      <c r="H23" s="119"/>
      <c r="I23" s="119"/>
      <c r="J23" s="119"/>
      <c r="K23" s="119"/>
      <c r="L23" s="119"/>
      <c r="M23" s="119"/>
      <c r="N23" s="119"/>
      <c r="O23" s="120"/>
    </row>
  </sheetData>
  <hyperlinks>
    <hyperlink ref="B4" location="SU_A0500" display="SU_A0500"/>
    <hyperlink ref="E3" location="dSU_05001" display="Drawing"/>
    <hyperlink ref="G2" location="SU_A0500_BOM" display="Back to BOM"/>
  </hyperlinks>
  <pageMargins left="0.31496062992125984" right="0.31496062992125984" top="0.31496062992125984" bottom="0.39370078740157483" header="0.51181102362204722" footer="0.31496062992125984"/>
  <pageSetup paperSize="9" scale="80" firstPageNumber="0" fitToHeight="99" orientation="landscape" horizontalDpi="1200" verticalDpi="1200" r:id="rId1"/>
  <rowBreaks count="2" manualBreakCount="2">
    <brk id="23" max="16383" man="1"/>
    <brk id="57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/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60" t="s">
        <v>88</v>
      </c>
      <c r="B1" s="60" t="s">
        <v>364</v>
      </c>
    </row>
  </sheetData>
  <hyperlinks>
    <hyperlink ref="A1" location="EL_01001" display="Drawing part :"/>
    <hyperlink ref="B1" location="SU_05001" display="SU_0500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40625" defaultRowHeight="15" x14ac:dyDescent="0.25"/>
  <cols>
    <col min="1" max="1" width="9.140625" style="103"/>
    <col min="2" max="2" width="32.42578125" style="103" customWidth="1"/>
    <col min="3" max="3" width="45.85546875" style="103" customWidth="1"/>
    <col min="4" max="14" width="9.140625" style="103"/>
    <col min="15" max="15" width="5.28515625" style="103" customWidth="1"/>
    <col min="16" max="16384" width="9.1406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856" t="s">
        <v>0</v>
      </c>
      <c r="B2" s="104" t="s">
        <v>1</v>
      </c>
      <c r="C2" s="105"/>
      <c r="D2" s="105"/>
      <c r="E2" s="58" t="s">
        <v>2</v>
      </c>
      <c r="F2" s="105"/>
      <c r="G2" s="105"/>
      <c r="H2" s="105"/>
      <c r="I2" s="105"/>
      <c r="J2" s="306" t="s">
        <v>3</v>
      </c>
      <c r="K2" s="106">
        <v>81</v>
      </c>
      <c r="L2" s="105"/>
      <c r="M2" s="306" t="s">
        <v>4</v>
      </c>
      <c r="N2" s="59">
        <f>SU_A0600_pa+SU_A0600_m+SU_A0600_p+SU_A0600_f+SU_A0600_t</f>
        <v>12.856091357590071</v>
      </c>
      <c r="O2" s="128"/>
    </row>
    <row r="3" spans="1:15" ht="14.45" x14ac:dyDescent="0.3">
      <c r="A3" s="856" t="s">
        <v>5</v>
      </c>
      <c r="B3" s="104" t="s">
        <v>106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306" t="s">
        <v>6</v>
      </c>
      <c r="N3" s="47">
        <v>2</v>
      </c>
      <c r="O3" s="128"/>
    </row>
    <row r="4" spans="1:15" ht="14.45" x14ac:dyDescent="0.3">
      <c r="A4" s="856" t="s">
        <v>7</v>
      </c>
      <c r="B4" s="129" t="s">
        <v>378</v>
      </c>
      <c r="C4" s="864"/>
      <c r="D4" s="105"/>
      <c r="E4" s="105"/>
      <c r="F4" s="105"/>
      <c r="G4" s="105"/>
      <c r="H4" s="105"/>
      <c r="I4" s="105"/>
      <c r="J4" s="357" t="s">
        <v>8</v>
      </c>
      <c r="K4" s="105"/>
      <c r="L4" s="105"/>
      <c r="M4" s="105"/>
      <c r="N4" s="105"/>
      <c r="O4" s="128"/>
    </row>
    <row r="5" spans="1:15" ht="14.45" x14ac:dyDescent="0.3">
      <c r="A5" s="856" t="s">
        <v>9</v>
      </c>
      <c r="B5" s="108" t="s">
        <v>377</v>
      </c>
      <c r="C5" s="105"/>
      <c r="D5" s="105"/>
      <c r="E5" s="105"/>
      <c r="F5" s="105"/>
      <c r="G5" s="105"/>
      <c r="H5" s="105"/>
      <c r="I5" s="105"/>
      <c r="J5" s="357" t="s">
        <v>10</v>
      </c>
      <c r="K5" s="105"/>
      <c r="L5" s="105"/>
      <c r="M5" s="306" t="s">
        <v>11</v>
      </c>
      <c r="N5" s="46">
        <f>N2*N3</f>
        <v>25.712182715180141</v>
      </c>
      <c r="O5" s="128"/>
    </row>
    <row r="6" spans="1:15" ht="14.45" x14ac:dyDescent="0.3">
      <c r="A6" s="856" t="s">
        <v>12</v>
      </c>
      <c r="B6" s="104" t="s">
        <v>13</v>
      </c>
      <c r="C6" s="105"/>
      <c r="D6" s="105"/>
      <c r="E6" s="105"/>
      <c r="F6" s="105"/>
      <c r="G6" s="105"/>
      <c r="H6" s="105"/>
      <c r="I6" s="105"/>
      <c r="J6" s="357" t="s">
        <v>14</v>
      </c>
      <c r="K6" s="105"/>
      <c r="L6" s="105"/>
      <c r="M6" s="105"/>
      <c r="N6" s="105"/>
      <c r="O6" s="128"/>
    </row>
    <row r="7" spans="1:15" ht="14.45" x14ac:dyDescent="0.3">
      <c r="A7" s="856" t="s">
        <v>15</v>
      </c>
      <c r="B7" s="104" t="s">
        <v>376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28"/>
    </row>
    <row r="8" spans="1:15" ht="14.45" x14ac:dyDescent="0.3">
      <c r="A8" s="130"/>
      <c r="B8" s="105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28"/>
    </row>
    <row r="9" spans="1:15" ht="14.45" x14ac:dyDescent="0.3">
      <c r="A9" s="863" t="s">
        <v>16</v>
      </c>
      <c r="B9" s="317" t="s">
        <v>17</v>
      </c>
      <c r="C9" s="317" t="s">
        <v>18</v>
      </c>
      <c r="D9" s="317" t="s">
        <v>19</v>
      </c>
      <c r="E9" s="317" t="s">
        <v>20</v>
      </c>
      <c r="F9" s="105"/>
      <c r="G9" s="105"/>
      <c r="H9" s="105"/>
      <c r="I9" s="105"/>
      <c r="J9" s="105"/>
      <c r="K9" s="105"/>
      <c r="L9" s="105"/>
      <c r="M9" s="105"/>
      <c r="N9" s="105"/>
      <c r="O9" s="128"/>
    </row>
    <row r="10" spans="1:15" ht="14.45" x14ac:dyDescent="0.3">
      <c r="A10" s="858">
        <v>10</v>
      </c>
      <c r="B10" s="188" t="s">
        <v>177</v>
      </c>
      <c r="C10" s="167">
        <f>'SU 06001'!N2</f>
        <v>1.3710986506763019</v>
      </c>
      <c r="D10" s="840">
        <f>SU_06001_q</f>
        <v>2</v>
      </c>
      <c r="E10" s="167">
        <f>C10*D10</f>
        <v>2.7421973013526038</v>
      </c>
      <c r="F10" s="105"/>
      <c r="G10" s="105"/>
      <c r="H10" s="105"/>
      <c r="I10" s="105"/>
      <c r="J10" s="105"/>
      <c r="K10" s="105"/>
      <c r="L10" s="105"/>
      <c r="M10" s="105"/>
      <c r="N10" s="105"/>
      <c r="O10" s="128"/>
    </row>
    <row r="11" spans="1:15" ht="14.45" x14ac:dyDescent="0.3">
      <c r="A11" s="858">
        <v>20</v>
      </c>
      <c r="B11" s="166" t="s">
        <v>181</v>
      </c>
      <c r="C11" s="167">
        <f>'SU 06002'!N2</f>
        <v>1.5427786126391492</v>
      </c>
      <c r="D11" s="339">
        <f>SU_06002_q</f>
        <v>1</v>
      </c>
      <c r="E11" s="167">
        <f>C11*D11</f>
        <v>1.5427786126391492</v>
      </c>
      <c r="F11" s="129"/>
      <c r="G11" s="129"/>
      <c r="H11" s="129"/>
      <c r="I11" s="129"/>
      <c r="J11" s="129"/>
      <c r="K11" s="129"/>
      <c r="L11" s="129"/>
      <c r="M11" s="129"/>
      <c r="N11" s="129"/>
      <c r="O11" s="128"/>
    </row>
    <row r="12" spans="1:15" ht="14.45" x14ac:dyDescent="0.3">
      <c r="A12" s="858">
        <v>30</v>
      </c>
      <c r="B12" s="862" t="s">
        <v>176</v>
      </c>
      <c r="C12" s="167">
        <f>'SU 06003'!N2</f>
        <v>0.88140624999999995</v>
      </c>
      <c r="D12" s="339">
        <f>SU_06003_q</f>
        <v>2</v>
      </c>
      <c r="E12" s="167">
        <f>C12*D12</f>
        <v>1.7628124999999999</v>
      </c>
      <c r="F12" s="129"/>
      <c r="G12" s="129"/>
      <c r="H12" s="129"/>
      <c r="I12" s="129"/>
      <c r="J12" s="129"/>
      <c r="K12" s="129"/>
      <c r="L12" s="129"/>
      <c r="M12" s="129"/>
      <c r="N12" s="129"/>
      <c r="O12" s="255"/>
    </row>
    <row r="13" spans="1:15" ht="14.45" x14ac:dyDescent="0.3">
      <c r="A13" s="861">
        <v>40</v>
      </c>
      <c r="B13" s="188" t="s">
        <v>179</v>
      </c>
      <c r="C13" s="167">
        <f>'SU 06004'!N2</f>
        <v>2.2702062500000002</v>
      </c>
      <c r="D13" s="262">
        <f>SU_06004_q</f>
        <v>2</v>
      </c>
      <c r="E13" s="167">
        <f>C13*D13</f>
        <v>4.5404125000000004</v>
      </c>
      <c r="F13" s="105"/>
      <c r="G13" s="105"/>
      <c r="H13" s="105"/>
      <c r="I13" s="105"/>
      <c r="J13" s="105"/>
      <c r="K13" s="105"/>
      <c r="L13" s="105"/>
      <c r="M13" s="105"/>
      <c r="N13" s="105"/>
      <c r="O13" s="128"/>
    </row>
    <row r="14" spans="1:15" ht="14.45" x14ac:dyDescent="0.3">
      <c r="A14" s="130"/>
      <c r="B14" s="105"/>
      <c r="C14" s="105"/>
      <c r="D14" s="308" t="s">
        <v>20</v>
      </c>
      <c r="E14" s="307">
        <f>SUM(E10:E13)</f>
        <v>10.588200913991752</v>
      </c>
      <c r="F14" s="129"/>
      <c r="G14" s="129"/>
      <c r="H14" s="129"/>
      <c r="I14" s="129"/>
      <c r="J14" s="129"/>
      <c r="K14" s="129"/>
      <c r="L14" s="129"/>
      <c r="M14" s="129"/>
      <c r="N14" s="129"/>
      <c r="O14" s="128"/>
    </row>
    <row r="15" spans="1:15" ht="14.45" x14ac:dyDescent="0.3">
      <c r="A15" s="130"/>
      <c r="B15" s="105"/>
      <c r="C15" s="105"/>
      <c r="D15" s="105"/>
      <c r="E15" s="105"/>
      <c r="F15" s="105"/>
      <c r="G15" s="105"/>
      <c r="H15" s="105"/>
      <c r="I15" s="105"/>
      <c r="J15" s="105"/>
      <c r="K15" s="105"/>
      <c r="L15" s="105"/>
      <c r="M15" s="105"/>
      <c r="N15" s="105"/>
      <c r="O15" s="128"/>
    </row>
    <row r="16" spans="1:15" ht="14.45" x14ac:dyDescent="0.3">
      <c r="A16" s="856" t="s">
        <v>16</v>
      </c>
      <c r="B16" s="306" t="s">
        <v>38</v>
      </c>
      <c r="C16" s="306" t="s">
        <v>22</v>
      </c>
      <c r="D16" s="306" t="s">
        <v>23</v>
      </c>
      <c r="E16" s="306" t="s">
        <v>31</v>
      </c>
      <c r="F16" s="306" t="s">
        <v>32</v>
      </c>
      <c r="G16" s="306" t="s">
        <v>33</v>
      </c>
      <c r="H16" s="306" t="s">
        <v>34</v>
      </c>
      <c r="I16" s="306" t="s">
        <v>39</v>
      </c>
      <c r="J16" s="306" t="s">
        <v>40</v>
      </c>
      <c r="K16" s="306" t="s">
        <v>41</v>
      </c>
      <c r="L16" s="306" t="s">
        <v>42</v>
      </c>
      <c r="M16" s="306" t="s">
        <v>19</v>
      </c>
      <c r="N16" s="306" t="s">
        <v>20</v>
      </c>
      <c r="O16" s="128"/>
    </row>
    <row r="17" spans="1:15" ht="14.45" x14ac:dyDescent="0.3">
      <c r="A17" s="133">
        <v>10</v>
      </c>
      <c r="B17" s="134" t="s">
        <v>75</v>
      </c>
      <c r="C17" s="134" t="s">
        <v>375</v>
      </c>
      <c r="D17" s="46">
        <v>10</v>
      </c>
      <c r="E17" s="134">
        <v>3.0000000000000001E-3</v>
      </c>
      <c r="F17" s="134" t="s">
        <v>73</v>
      </c>
      <c r="G17" s="134"/>
      <c r="H17" s="53"/>
      <c r="I17" s="143"/>
      <c r="J17" s="54"/>
      <c r="K17" s="53"/>
      <c r="L17" s="53"/>
      <c r="M17" s="66">
        <v>1</v>
      </c>
      <c r="N17" s="46">
        <f>M17*D17*E17</f>
        <v>0.03</v>
      </c>
      <c r="O17" s="128"/>
    </row>
    <row r="18" spans="1:15" s="113" customFormat="1" ht="14.45" x14ac:dyDescent="0.3">
      <c r="A18" s="133">
        <v>20</v>
      </c>
      <c r="B18" s="134" t="s">
        <v>75</v>
      </c>
      <c r="C18" s="151" t="s">
        <v>374</v>
      </c>
      <c r="D18" s="46">
        <v>10</v>
      </c>
      <c r="E18" s="145">
        <v>6.0000000000000001E-3</v>
      </c>
      <c r="F18" s="145" t="s">
        <v>73</v>
      </c>
      <c r="G18" s="145"/>
      <c r="H18" s="53"/>
      <c r="I18" s="146"/>
      <c r="J18" s="69"/>
      <c r="K18" s="68"/>
      <c r="L18" s="147"/>
      <c r="M18" s="66">
        <v>1</v>
      </c>
      <c r="N18" s="46">
        <f>M18*D18*E18</f>
        <v>0.06</v>
      </c>
      <c r="O18" s="142"/>
    </row>
    <row r="19" spans="1:15" ht="14.45" x14ac:dyDescent="0.3">
      <c r="A19" s="136"/>
      <c r="B19" s="115"/>
      <c r="C19" s="115"/>
      <c r="D19" s="115"/>
      <c r="E19" s="115"/>
      <c r="F19" s="115"/>
      <c r="G19" s="115"/>
      <c r="H19" s="115"/>
      <c r="I19" s="115"/>
      <c r="J19" s="115"/>
      <c r="K19" s="115"/>
      <c r="L19" s="115"/>
      <c r="M19" s="306" t="s">
        <v>20</v>
      </c>
      <c r="N19" s="318">
        <f>SUM(N17:N18)</f>
        <v>0.09</v>
      </c>
      <c r="O19" s="128"/>
    </row>
    <row r="20" spans="1:15" ht="14.45" x14ac:dyDescent="0.3">
      <c r="A20" s="130"/>
      <c r="B20" s="105"/>
      <c r="C20" s="105"/>
      <c r="D20" s="105"/>
      <c r="E20" s="105"/>
      <c r="F20" s="105"/>
      <c r="G20" s="105"/>
      <c r="H20" s="105"/>
      <c r="I20" s="105"/>
      <c r="J20" s="105"/>
      <c r="K20" s="105"/>
      <c r="L20" s="105"/>
      <c r="M20" s="105"/>
      <c r="N20" s="105"/>
      <c r="O20" s="128"/>
    </row>
    <row r="21" spans="1:15" s="124" customFormat="1" ht="14.45" x14ac:dyDescent="0.3">
      <c r="A21" s="856" t="s">
        <v>16</v>
      </c>
      <c r="B21" s="306" t="s">
        <v>21</v>
      </c>
      <c r="C21" s="306" t="s">
        <v>22</v>
      </c>
      <c r="D21" s="306" t="s">
        <v>23</v>
      </c>
      <c r="E21" s="306" t="s">
        <v>24</v>
      </c>
      <c r="F21" s="306" t="s">
        <v>19</v>
      </c>
      <c r="G21" s="306" t="s">
        <v>25</v>
      </c>
      <c r="H21" s="306" t="s">
        <v>26</v>
      </c>
      <c r="I21" s="306" t="s">
        <v>20</v>
      </c>
      <c r="J21" s="115"/>
      <c r="K21" s="115"/>
      <c r="L21" s="115"/>
      <c r="M21" s="115"/>
      <c r="N21" s="115"/>
      <c r="O21" s="132"/>
    </row>
    <row r="22" spans="1:15" ht="14.45" x14ac:dyDescent="0.3">
      <c r="A22" s="133">
        <v>10</v>
      </c>
      <c r="B22" s="134" t="s">
        <v>86</v>
      </c>
      <c r="C22" s="134" t="s">
        <v>373</v>
      </c>
      <c r="D22" s="46">
        <v>0.15</v>
      </c>
      <c r="E22" s="134" t="s">
        <v>76</v>
      </c>
      <c r="F22" s="135">
        <v>10</v>
      </c>
      <c r="G22" s="135"/>
      <c r="H22" s="135"/>
      <c r="I22" s="46">
        <f t="shared" ref="I22:I31" si="0">IF(H22="",D22*F22,D22*F22*H22)</f>
        <v>1.5</v>
      </c>
      <c r="J22" s="105"/>
      <c r="K22" s="105"/>
      <c r="L22" s="105"/>
      <c r="M22" s="105"/>
      <c r="N22" s="105"/>
      <c r="O22" s="128"/>
    </row>
    <row r="23" spans="1:15" ht="14.45" x14ac:dyDescent="0.3">
      <c r="A23" s="133">
        <v>20</v>
      </c>
      <c r="B23" s="52" t="s">
        <v>155</v>
      </c>
      <c r="C23" s="134" t="s">
        <v>372</v>
      </c>
      <c r="D23" s="46">
        <v>5.25</v>
      </c>
      <c r="E23" s="52" t="s">
        <v>73</v>
      </c>
      <c r="F23" s="135">
        <v>6.0000000000000001E-3</v>
      </c>
      <c r="G23" s="134"/>
      <c r="H23" s="134"/>
      <c r="I23" s="46">
        <f t="shared" si="0"/>
        <v>3.15E-2</v>
      </c>
      <c r="J23" s="105"/>
      <c r="K23" s="105"/>
      <c r="L23" s="105"/>
      <c r="M23" s="105"/>
      <c r="N23" s="105"/>
      <c r="O23" s="128"/>
    </row>
    <row r="24" spans="1:15" ht="14.45" x14ac:dyDescent="0.3">
      <c r="A24" s="133">
        <v>30</v>
      </c>
      <c r="B24" s="52" t="s">
        <v>155</v>
      </c>
      <c r="C24" s="134" t="s">
        <v>371</v>
      </c>
      <c r="D24" s="46">
        <v>5.25</v>
      </c>
      <c r="E24" s="134" t="s">
        <v>73</v>
      </c>
      <c r="F24" s="135">
        <v>1.2E-2</v>
      </c>
      <c r="G24" s="134"/>
      <c r="H24" s="134"/>
      <c r="I24" s="46">
        <f t="shared" si="0"/>
        <v>6.3E-2</v>
      </c>
      <c r="J24" s="105"/>
      <c r="K24" s="105"/>
      <c r="L24" s="105"/>
      <c r="M24" s="105"/>
      <c r="N24" s="105"/>
      <c r="O24" s="128"/>
    </row>
    <row r="25" spans="1:15" s="149" customFormat="1" ht="14.45" x14ac:dyDescent="0.3">
      <c r="A25" s="133">
        <v>40</v>
      </c>
      <c r="B25" s="52" t="s">
        <v>197</v>
      </c>
      <c r="C25" s="134" t="s">
        <v>370</v>
      </c>
      <c r="D25" s="46">
        <v>0.06</v>
      </c>
      <c r="E25" s="134" t="s">
        <v>72</v>
      </c>
      <c r="F25" s="135">
        <v>1</v>
      </c>
      <c r="G25" s="134"/>
      <c r="H25" s="134"/>
      <c r="I25" s="46">
        <f t="shared" si="0"/>
        <v>0.06</v>
      </c>
      <c r="J25" s="129"/>
      <c r="K25" s="129"/>
      <c r="L25" s="129"/>
      <c r="M25" s="129"/>
      <c r="N25" s="129"/>
      <c r="O25" s="259"/>
    </row>
    <row r="26" spans="1:15" s="124" customFormat="1" ht="14.45" x14ac:dyDescent="0.3">
      <c r="A26" s="133">
        <v>50</v>
      </c>
      <c r="B26" s="52" t="s">
        <v>197</v>
      </c>
      <c r="C26" s="134" t="s">
        <v>369</v>
      </c>
      <c r="D26" s="46">
        <v>0.06</v>
      </c>
      <c r="E26" s="134" t="s">
        <v>72</v>
      </c>
      <c r="F26" s="135">
        <v>1</v>
      </c>
      <c r="G26" s="135"/>
      <c r="H26" s="135"/>
      <c r="I26" s="46">
        <f t="shared" si="0"/>
        <v>0.06</v>
      </c>
      <c r="J26" s="129"/>
      <c r="K26" s="129"/>
      <c r="L26" s="129"/>
      <c r="M26" s="129"/>
      <c r="N26" s="129"/>
      <c r="O26" s="132"/>
    </row>
    <row r="27" spans="1:15" s="149" customFormat="1" ht="14.45" customHeight="1" x14ac:dyDescent="0.3">
      <c r="A27" s="860">
        <v>60</v>
      </c>
      <c r="B27" s="51" t="s">
        <v>197</v>
      </c>
      <c r="C27" s="51" t="s">
        <v>139</v>
      </c>
      <c r="D27" s="46">
        <v>0.06</v>
      </c>
      <c r="E27" s="51" t="s">
        <v>72</v>
      </c>
      <c r="F27" s="859">
        <v>1</v>
      </c>
      <c r="G27" s="236"/>
      <c r="H27" s="134"/>
      <c r="I27" s="46">
        <f t="shared" si="0"/>
        <v>0.06</v>
      </c>
      <c r="J27" s="129"/>
      <c r="K27" s="129"/>
      <c r="L27" s="129"/>
      <c r="M27" s="129"/>
      <c r="N27" s="129"/>
      <c r="O27" s="259"/>
    </row>
    <row r="28" spans="1:15" s="149" customFormat="1" ht="14.45" customHeight="1" x14ac:dyDescent="0.3">
      <c r="A28" s="858">
        <v>70</v>
      </c>
      <c r="B28" s="180" t="s">
        <v>101</v>
      </c>
      <c r="C28" s="836" t="s">
        <v>368</v>
      </c>
      <c r="D28" s="167">
        <v>0.12</v>
      </c>
      <c r="E28" s="172" t="s">
        <v>72</v>
      </c>
      <c r="F28" s="262">
        <v>1</v>
      </c>
      <c r="G28" s="339"/>
      <c r="H28" s="240"/>
      <c r="I28" s="46">
        <f t="shared" si="0"/>
        <v>0.12</v>
      </c>
      <c r="J28" s="129"/>
      <c r="K28" s="129"/>
      <c r="L28" s="129"/>
      <c r="M28" s="129"/>
      <c r="N28" s="129"/>
      <c r="O28" s="259"/>
    </row>
    <row r="29" spans="1:15" s="149" customFormat="1" ht="14.45" customHeight="1" x14ac:dyDescent="0.3">
      <c r="A29" s="858">
        <v>80</v>
      </c>
      <c r="B29" s="180" t="s">
        <v>101</v>
      </c>
      <c r="C29" s="857" t="s">
        <v>367</v>
      </c>
      <c r="D29" s="167">
        <v>0.12</v>
      </c>
      <c r="E29" s="172" t="s">
        <v>72</v>
      </c>
      <c r="F29" s="262">
        <v>1</v>
      </c>
      <c r="G29" s="339"/>
      <c r="H29" s="240"/>
      <c r="I29" s="46">
        <f t="shared" si="0"/>
        <v>0.12</v>
      </c>
      <c r="J29" s="129"/>
      <c r="K29" s="129"/>
      <c r="L29" s="129"/>
      <c r="M29" s="129"/>
      <c r="N29" s="129"/>
      <c r="O29" s="259"/>
    </row>
    <row r="30" spans="1:15" s="149" customFormat="1" ht="14.45" customHeight="1" x14ac:dyDescent="0.3">
      <c r="A30" s="858">
        <v>90</v>
      </c>
      <c r="B30" s="180" t="s">
        <v>28</v>
      </c>
      <c r="C30" s="857" t="s">
        <v>136</v>
      </c>
      <c r="D30" s="167">
        <v>0.75</v>
      </c>
      <c r="E30" s="172" t="s">
        <v>72</v>
      </c>
      <c r="F30" s="262">
        <v>1</v>
      </c>
      <c r="G30" s="339"/>
      <c r="H30" s="240"/>
      <c r="I30" s="46">
        <f t="shared" si="0"/>
        <v>0.75</v>
      </c>
      <c r="J30" s="129"/>
      <c r="K30" s="129"/>
      <c r="L30" s="129"/>
      <c r="M30" s="129"/>
      <c r="N30" s="129"/>
      <c r="O30" s="259"/>
    </row>
    <row r="31" spans="1:15" s="149" customFormat="1" ht="14.45" customHeight="1" x14ac:dyDescent="0.3">
      <c r="A31" s="858">
        <v>100</v>
      </c>
      <c r="B31" s="180" t="s">
        <v>137</v>
      </c>
      <c r="C31" s="857" t="s">
        <v>136</v>
      </c>
      <c r="D31" s="167">
        <v>0.25</v>
      </c>
      <c r="E31" s="172" t="s">
        <v>72</v>
      </c>
      <c r="F31" s="262">
        <v>1</v>
      </c>
      <c r="G31" s="339"/>
      <c r="H31" s="240"/>
      <c r="I31" s="46">
        <f t="shared" si="0"/>
        <v>0.25</v>
      </c>
      <c r="J31" s="129"/>
      <c r="K31" s="129"/>
      <c r="L31" s="129"/>
      <c r="M31" s="129"/>
      <c r="N31" s="129"/>
      <c r="O31" s="259"/>
    </row>
    <row r="32" spans="1:15" x14ac:dyDescent="0.25">
      <c r="A32" s="136"/>
      <c r="B32" s="115"/>
      <c r="C32" s="115"/>
      <c r="D32" s="115"/>
      <c r="E32" s="115"/>
      <c r="F32" s="115"/>
      <c r="G32" s="115"/>
      <c r="H32" s="319" t="s">
        <v>20</v>
      </c>
      <c r="I32" s="318">
        <f>SUM(I22:I24)</f>
        <v>1.5945</v>
      </c>
      <c r="J32" s="105"/>
      <c r="K32" s="105"/>
      <c r="L32" s="105"/>
      <c r="M32" s="105"/>
      <c r="N32" s="105"/>
      <c r="O32" s="128"/>
    </row>
    <row r="33" spans="1:15" x14ac:dyDescent="0.25">
      <c r="A33" s="130"/>
      <c r="B33" s="105"/>
      <c r="C33" s="105"/>
      <c r="D33" s="105"/>
      <c r="E33" s="105"/>
      <c r="F33" s="105"/>
      <c r="G33" s="105"/>
      <c r="H33" s="105"/>
      <c r="I33" s="105"/>
      <c r="J33" s="105"/>
      <c r="K33" s="105"/>
      <c r="L33" s="105"/>
      <c r="M33" s="105"/>
      <c r="N33" s="105"/>
      <c r="O33" s="128"/>
    </row>
    <row r="34" spans="1:15" x14ac:dyDescent="0.25">
      <c r="A34" s="856" t="s">
        <v>16</v>
      </c>
      <c r="B34" s="306" t="s">
        <v>30</v>
      </c>
      <c r="C34" s="306" t="s">
        <v>22</v>
      </c>
      <c r="D34" s="306" t="s">
        <v>23</v>
      </c>
      <c r="E34" s="306" t="s">
        <v>31</v>
      </c>
      <c r="F34" s="306" t="s">
        <v>32</v>
      </c>
      <c r="G34" s="306" t="s">
        <v>33</v>
      </c>
      <c r="H34" s="306" t="s">
        <v>34</v>
      </c>
      <c r="I34" s="306" t="s">
        <v>19</v>
      </c>
      <c r="J34" s="306" t="s">
        <v>20</v>
      </c>
      <c r="K34" s="105"/>
      <c r="L34" s="105"/>
      <c r="M34" s="105"/>
      <c r="N34" s="105"/>
      <c r="O34" s="128"/>
    </row>
    <row r="35" spans="1:15" x14ac:dyDescent="0.25">
      <c r="A35" s="133">
        <v>10</v>
      </c>
      <c r="B35" s="134" t="s">
        <v>71</v>
      </c>
      <c r="C35" s="134" t="s">
        <v>366</v>
      </c>
      <c r="D35" s="137">
        <f>0.8/105154*E35^2*G35*SQRT(G35)+0.003*EXP(0.319*E35)</f>
        <v>0.18547981844542938</v>
      </c>
      <c r="E35" s="49">
        <v>8</v>
      </c>
      <c r="F35" s="49" t="s">
        <v>35</v>
      </c>
      <c r="G35" s="49">
        <v>45</v>
      </c>
      <c r="H35" s="49" t="s">
        <v>35</v>
      </c>
      <c r="I35" s="47">
        <v>1</v>
      </c>
      <c r="J35" s="46">
        <f>D35*I35</f>
        <v>0.18547981844542938</v>
      </c>
      <c r="K35" s="105"/>
      <c r="L35" s="105"/>
      <c r="M35" s="105"/>
      <c r="N35" s="105"/>
      <c r="O35" s="128"/>
    </row>
    <row r="36" spans="1:15" x14ac:dyDescent="0.25">
      <c r="A36" s="133">
        <v>20</v>
      </c>
      <c r="B36" s="134" t="s">
        <v>37</v>
      </c>
      <c r="C36" s="134" t="s">
        <v>366</v>
      </c>
      <c r="D36" s="137">
        <v>0.01</v>
      </c>
      <c r="E36" s="134"/>
      <c r="F36" s="48" t="s">
        <v>72</v>
      </c>
      <c r="G36" s="134"/>
      <c r="H36" s="134"/>
      <c r="I36" s="47">
        <v>2</v>
      </c>
      <c r="J36" s="46">
        <f>I36*D36</f>
        <v>0.02</v>
      </c>
      <c r="K36" s="105"/>
      <c r="L36" s="105"/>
      <c r="M36" s="105"/>
      <c r="N36" s="105"/>
      <c r="O36" s="128"/>
    </row>
    <row r="37" spans="1:15" x14ac:dyDescent="0.25">
      <c r="A37" s="133">
        <v>30</v>
      </c>
      <c r="B37" s="134" t="s">
        <v>36</v>
      </c>
      <c r="C37" s="134" t="s">
        <v>366</v>
      </c>
      <c r="D37" s="137">
        <f>0.009*EXP(0.2*E37)</f>
        <v>4.4577291819556032E-2</v>
      </c>
      <c r="E37" s="134">
        <v>8</v>
      </c>
      <c r="F37" s="48" t="s">
        <v>35</v>
      </c>
      <c r="G37" s="134"/>
      <c r="H37" s="134"/>
      <c r="I37" s="47">
        <v>1</v>
      </c>
      <c r="J37" s="46">
        <f>D37*I37</f>
        <v>4.4577291819556032E-2</v>
      </c>
      <c r="K37" s="105"/>
      <c r="L37" s="105"/>
      <c r="M37" s="105"/>
      <c r="N37" s="105"/>
      <c r="O37" s="128"/>
    </row>
    <row r="38" spans="1:15" x14ac:dyDescent="0.25">
      <c r="A38" s="136"/>
      <c r="B38" s="115"/>
      <c r="C38" s="115"/>
      <c r="D38" s="115"/>
      <c r="E38" s="115"/>
      <c r="F38" s="115"/>
      <c r="G38" s="115"/>
      <c r="H38" s="115"/>
      <c r="I38" s="319" t="s">
        <v>20</v>
      </c>
      <c r="J38" s="318">
        <f>SUM(J35:J37)</f>
        <v>0.25005711026498539</v>
      </c>
      <c r="K38" s="105"/>
      <c r="L38" s="105"/>
      <c r="M38" s="105"/>
      <c r="N38" s="105"/>
      <c r="O38" s="128"/>
    </row>
    <row r="39" spans="1:15" x14ac:dyDescent="0.25">
      <c r="A39" s="130"/>
      <c r="B39" s="105"/>
      <c r="C39" s="105"/>
      <c r="D39" s="105"/>
      <c r="E39" s="105"/>
      <c r="F39" s="105"/>
      <c r="G39" s="105"/>
      <c r="H39" s="105"/>
      <c r="I39" s="105"/>
      <c r="J39" s="105"/>
      <c r="K39" s="105"/>
      <c r="L39" s="105"/>
      <c r="M39" s="105"/>
      <c r="N39" s="105"/>
      <c r="O39" s="128"/>
    </row>
    <row r="40" spans="1:15" x14ac:dyDescent="0.25">
      <c r="A40" s="856" t="s">
        <v>16</v>
      </c>
      <c r="B40" s="306" t="s">
        <v>70</v>
      </c>
      <c r="C40" s="306" t="s">
        <v>22</v>
      </c>
      <c r="D40" s="306" t="s">
        <v>23</v>
      </c>
      <c r="E40" s="306" t="s">
        <v>24</v>
      </c>
      <c r="F40" s="306" t="s">
        <v>19</v>
      </c>
      <c r="G40" s="306" t="s">
        <v>69</v>
      </c>
      <c r="H40" s="306" t="s">
        <v>68</v>
      </c>
      <c r="I40" s="306" t="s">
        <v>20</v>
      </c>
      <c r="J40" s="115"/>
      <c r="K40" s="105"/>
      <c r="L40" s="105"/>
      <c r="M40" s="105"/>
      <c r="N40" s="105"/>
      <c r="O40" s="128"/>
    </row>
    <row r="41" spans="1:15" x14ac:dyDescent="0.25">
      <c r="A41" s="133">
        <v>10</v>
      </c>
      <c r="B41" s="134" t="s">
        <v>67</v>
      </c>
      <c r="C41" s="134" t="s">
        <v>365</v>
      </c>
      <c r="D41" s="46">
        <v>500</v>
      </c>
      <c r="E41" s="134" t="s">
        <v>66</v>
      </c>
      <c r="F41" s="134">
        <v>2</v>
      </c>
      <c r="G41" s="134">
        <v>3000</v>
      </c>
      <c r="H41" s="134">
        <v>1</v>
      </c>
      <c r="I41" s="46">
        <f>D41*F41/G41*H41</f>
        <v>0.33333333333333331</v>
      </c>
      <c r="J41" s="115"/>
      <c r="K41" s="105"/>
      <c r="L41" s="105"/>
      <c r="M41" s="105"/>
      <c r="N41" s="105"/>
      <c r="O41" s="128"/>
    </row>
    <row r="42" spans="1:15" x14ac:dyDescent="0.25">
      <c r="A42" s="136"/>
      <c r="B42" s="115"/>
      <c r="C42" s="115"/>
      <c r="D42" s="115"/>
      <c r="E42" s="115"/>
      <c r="F42" s="115"/>
      <c r="G42" s="115"/>
      <c r="H42" s="308" t="s">
        <v>20</v>
      </c>
      <c r="I42" s="307">
        <f>SUM(I41:I41)</f>
        <v>0.33333333333333331</v>
      </c>
      <c r="J42" s="115"/>
      <c r="K42" s="105"/>
      <c r="L42" s="105"/>
      <c r="M42" s="105"/>
      <c r="N42" s="105"/>
      <c r="O42" s="128"/>
    </row>
    <row r="43" spans="1:15" ht="15.75" thickBot="1" x14ac:dyDescent="0.3">
      <c r="A43" s="138"/>
      <c r="B43" s="139"/>
      <c r="C43" s="139"/>
      <c r="D43" s="139"/>
      <c r="E43" s="139"/>
      <c r="F43" s="139"/>
      <c r="G43" s="139"/>
      <c r="H43" s="139"/>
      <c r="I43" s="139"/>
      <c r="J43" s="139"/>
      <c r="K43" s="139"/>
      <c r="L43" s="139"/>
      <c r="M43" s="139"/>
      <c r="N43" s="139"/>
      <c r="O43" s="140"/>
    </row>
    <row r="44" spans="1:15" x14ac:dyDescent="0.25">
      <c r="A44" s="105"/>
      <c r="B44" s="105"/>
      <c r="C44" s="105"/>
      <c r="D44" s="105"/>
      <c r="E44" s="105"/>
      <c r="F44" s="105"/>
      <c r="G44" s="105"/>
      <c r="H44" s="105"/>
      <c r="I44" s="105"/>
      <c r="J44" s="105"/>
      <c r="K44" s="105"/>
      <c r="L44" s="105"/>
      <c r="M44" s="105"/>
      <c r="N44" s="105"/>
    </row>
  </sheetData>
  <hyperlinks>
    <hyperlink ref="B10" location="SU_06001" display="Rocker bushing"/>
    <hyperlink ref="B11" location="SU_06002" display="Rocker spacer"/>
    <hyperlink ref="B12" location="SU_06003" display="Sheets of metal for rocker"/>
    <hyperlink ref="B13" location="SU_06004" display="Front rocker mount"/>
    <hyperlink ref="E2" location="SU_A0600_BOM" display="Back to BOM"/>
  </hyperlinks>
  <pageMargins left="0.31496062992125984" right="0.31496062992125984" top="0.31496062992125984" bottom="0.39370078740157483" header="0.51181102362204722" footer="0.31496062992125984"/>
  <pageSetup paperSize="9" scale="73" firstPageNumber="0" fitToHeight="99" orientation="landscape" horizontalDpi="1200" verticalDpi="1200" r:id="rId1"/>
  <rowBreaks count="1" manualBreakCount="1">
    <brk id="43" max="16383" man="1"/>
  </rowBreak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8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25.140625" style="103" customWidth="1"/>
    <col min="3" max="3" width="21.42578125" style="103" customWidth="1"/>
    <col min="4" max="6" width="11.5703125" style="103"/>
    <col min="7" max="7" width="13.85546875" style="103" customWidth="1"/>
    <col min="8" max="8" width="11.5703125" style="103"/>
    <col min="9" max="9" width="14" style="103" customWidth="1"/>
    <col min="10" max="16" width="11.5703125" style="103"/>
    <col min="17" max="17" width="12.85546875" style="103" bestFit="1" customWidth="1"/>
    <col min="18" max="16384" width="11.5703125" style="103"/>
  </cols>
  <sheetData>
    <row r="1" spans="1:17" ht="14.45" x14ac:dyDescent="0.3">
      <c r="A1" s="75"/>
      <c r="B1" s="76"/>
      <c r="C1" s="76"/>
      <c r="D1" s="76"/>
      <c r="E1" s="76"/>
      <c r="F1" s="76"/>
      <c r="G1" s="76"/>
      <c r="H1" s="76"/>
      <c r="I1" s="76"/>
      <c r="J1" s="76"/>
      <c r="K1" s="76"/>
      <c r="L1" s="76"/>
      <c r="M1" s="76"/>
      <c r="N1" s="76"/>
      <c r="O1" s="77"/>
    </row>
    <row r="2" spans="1:17" ht="14.45" x14ac:dyDescent="0.3">
      <c r="A2" s="420" t="s">
        <v>0</v>
      </c>
      <c r="B2" s="79" t="s">
        <v>1</v>
      </c>
      <c r="C2" s="80"/>
      <c r="D2" s="80"/>
      <c r="E2" s="80"/>
      <c r="F2" s="80"/>
      <c r="G2" s="81" t="s">
        <v>2</v>
      </c>
      <c r="H2" s="80"/>
      <c r="I2" s="80"/>
      <c r="J2" s="425" t="s">
        <v>3</v>
      </c>
      <c r="K2" s="82">
        <v>81</v>
      </c>
      <c r="L2" s="80"/>
      <c r="M2" s="420" t="s">
        <v>18</v>
      </c>
      <c r="N2" s="87">
        <f>N12+I17</f>
        <v>0.98904401600000003</v>
      </c>
      <c r="O2" s="84"/>
    </row>
    <row r="3" spans="1:17" ht="14.45" x14ac:dyDescent="0.3">
      <c r="A3" s="420" t="s">
        <v>5</v>
      </c>
      <c r="B3" s="79" t="str">
        <f>'SU A0100'!B3</f>
        <v>Suspension &amp; Shocks</v>
      </c>
      <c r="C3" s="80"/>
      <c r="D3" s="420" t="s">
        <v>8</v>
      </c>
      <c r="E3" s="433" t="s">
        <v>84</v>
      </c>
      <c r="F3" s="80"/>
      <c r="G3" s="80"/>
      <c r="H3" s="80"/>
      <c r="I3" s="80"/>
      <c r="J3" s="80"/>
      <c r="K3" s="80"/>
      <c r="L3" s="80"/>
      <c r="M3" s="420" t="s">
        <v>6</v>
      </c>
      <c r="N3" s="85">
        <v>2</v>
      </c>
      <c r="O3" s="84"/>
    </row>
    <row r="4" spans="1:17" ht="14.45" x14ac:dyDescent="0.3">
      <c r="A4" s="420" t="s">
        <v>7</v>
      </c>
      <c r="B4" s="81" t="str">
        <f>'SU A0100'!B4</f>
        <v>Upper Front A-arm</v>
      </c>
      <c r="C4" s="80"/>
      <c r="D4" s="420" t="s">
        <v>10</v>
      </c>
      <c r="E4" s="80"/>
      <c r="F4" s="80"/>
      <c r="G4" s="80"/>
      <c r="H4" s="80"/>
      <c r="I4" s="80"/>
      <c r="J4" s="421" t="s">
        <v>8</v>
      </c>
      <c r="K4" s="80"/>
      <c r="L4" s="80"/>
      <c r="M4" s="80"/>
      <c r="N4" s="80"/>
      <c r="O4" s="84"/>
    </row>
    <row r="5" spans="1:17" ht="14.45" x14ac:dyDescent="0.3">
      <c r="A5" s="420" t="s">
        <v>17</v>
      </c>
      <c r="B5" s="86" t="s">
        <v>248</v>
      </c>
      <c r="C5" s="80"/>
      <c r="D5" s="420" t="s">
        <v>14</v>
      </c>
      <c r="E5" s="80"/>
      <c r="F5" s="80"/>
      <c r="G5" s="80"/>
      <c r="H5" s="80"/>
      <c r="I5" s="80"/>
      <c r="J5" s="421" t="s">
        <v>10</v>
      </c>
      <c r="K5" s="80"/>
      <c r="L5" s="80"/>
      <c r="M5" s="420" t="s">
        <v>11</v>
      </c>
      <c r="N5" s="87">
        <f>N3*N2</f>
        <v>1.9780880320000001</v>
      </c>
      <c r="O5" s="84"/>
    </row>
    <row r="6" spans="1:17" ht="14.45" x14ac:dyDescent="0.3">
      <c r="A6" s="420" t="s">
        <v>9</v>
      </c>
      <c r="B6" s="422" t="s">
        <v>247</v>
      </c>
      <c r="C6" s="80"/>
      <c r="D6" s="80"/>
      <c r="E6" s="80"/>
      <c r="F6" s="80"/>
      <c r="G6" s="80"/>
      <c r="H6" s="80"/>
      <c r="I6" s="80"/>
      <c r="J6" s="421" t="s">
        <v>14</v>
      </c>
      <c r="K6" s="80"/>
      <c r="L6" s="80"/>
      <c r="M6" s="80"/>
      <c r="N6" s="80"/>
      <c r="O6" s="84"/>
    </row>
    <row r="7" spans="1:17" ht="14.45" x14ac:dyDescent="0.3">
      <c r="A7" s="420" t="s">
        <v>12</v>
      </c>
      <c r="B7" s="79" t="s">
        <v>13</v>
      </c>
      <c r="C7" s="80"/>
      <c r="D7" s="80"/>
      <c r="E7" s="80"/>
      <c r="F7" s="80"/>
      <c r="G7" s="80"/>
      <c r="H7" s="80"/>
      <c r="I7" s="80"/>
      <c r="J7" s="80"/>
      <c r="K7" s="80"/>
      <c r="L7" s="80"/>
      <c r="M7" s="80"/>
      <c r="N7" s="80"/>
      <c r="O7" s="84"/>
    </row>
    <row r="8" spans="1:17" ht="14.45" x14ac:dyDescent="0.3">
      <c r="A8" s="420" t="s">
        <v>15</v>
      </c>
      <c r="B8" s="79"/>
      <c r="C8" s="80"/>
      <c r="D8" s="80"/>
      <c r="E8" s="80"/>
      <c r="F8" s="80"/>
      <c r="G8" s="80"/>
      <c r="H8" s="80"/>
      <c r="I8" s="80"/>
      <c r="J8" s="80"/>
      <c r="K8" s="80"/>
      <c r="L8" s="80"/>
      <c r="M8" s="80"/>
      <c r="N8" s="80"/>
      <c r="O8" s="84"/>
    </row>
    <row r="9" spans="1:17" ht="14.45" x14ac:dyDescent="0.3">
      <c r="A9" s="419"/>
      <c r="B9" s="418"/>
      <c r="C9" s="418"/>
      <c r="D9" s="418"/>
      <c r="E9" s="418"/>
      <c r="F9" s="80"/>
      <c r="G9" s="80"/>
      <c r="H9" s="80"/>
      <c r="I9" s="80"/>
      <c r="J9" s="80"/>
      <c r="K9" s="80"/>
      <c r="L9" s="80"/>
      <c r="M9" s="80"/>
      <c r="N9" s="80"/>
      <c r="O9" s="84"/>
    </row>
    <row r="10" spans="1:17" ht="14.45" x14ac:dyDescent="0.3">
      <c r="A10" s="417" t="s">
        <v>16</v>
      </c>
      <c r="B10" s="416" t="s">
        <v>38</v>
      </c>
      <c r="C10" s="416" t="s">
        <v>22</v>
      </c>
      <c r="D10" s="416" t="s">
        <v>23</v>
      </c>
      <c r="E10" s="416" t="s">
        <v>31</v>
      </c>
      <c r="F10" s="404" t="s">
        <v>32</v>
      </c>
      <c r="G10" s="404" t="s">
        <v>33</v>
      </c>
      <c r="H10" s="404" t="s">
        <v>34</v>
      </c>
      <c r="I10" s="404" t="s">
        <v>39</v>
      </c>
      <c r="J10" s="404" t="s">
        <v>40</v>
      </c>
      <c r="K10" s="404" t="s">
        <v>41</v>
      </c>
      <c r="L10" s="404" t="s">
        <v>42</v>
      </c>
      <c r="M10" s="404" t="s">
        <v>19</v>
      </c>
      <c r="N10" s="404" t="s">
        <v>20</v>
      </c>
      <c r="O10" s="84"/>
    </row>
    <row r="11" spans="1:17" ht="14.45" x14ac:dyDescent="0.3">
      <c r="A11" s="415">
        <v>10</v>
      </c>
      <c r="B11" s="432" t="s">
        <v>246</v>
      </c>
      <c r="C11" s="411" t="s">
        <v>99</v>
      </c>
      <c r="D11" s="226">
        <v>2.25</v>
      </c>
      <c r="E11" s="410">
        <f>J11*K11*L11</f>
        <v>1.7352896E-2</v>
      </c>
      <c r="F11" s="411" t="s">
        <v>153</v>
      </c>
      <c r="G11" s="411"/>
      <c r="H11" s="222"/>
      <c r="I11" s="410" t="s">
        <v>154</v>
      </c>
      <c r="J11" s="223">
        <f>3.14*8*8/1000000</f>
        <v>2.0096E-4</v>
      </c>
      <c r="K11" s="223">
        <v>1.0999999999999999E-2</v>
      </c>
      <c r="L11" s="408">
        <v>7850</v>
      </c>
      <c r="M11" s="225">
        <v>1</v>
      </c>
      <c r="N11" s="226">
        <f>D11*E11*M11</f>
        <v>3.9044016000000001E-2</v>
      </c>
      <c r="O11" s="407"/>
      <c r="Q11" s="364"/>
    </row>
    <row r="12" spans="1:17" ht="14.45" x14ac:dyDescent="0.3">
      <c r="A12" s="93"/>
      <c r="B12" s="94"/>
      <c r="C12" s="94"/>
      <c r="D12" s="94"/>
      <c r="E12" s="94"/>
      <c r="F12" s="94"/>
      <c r="G12" s="94"/>
      <c r="H12" s="94"/>
      <c r="I12" s="94"/>
      <c r="J12" s="94"/>
      <c r="K12" s="94"/>
      <c r="L12" s="94"/>
      <c r="M12" s="406" t="s">
        <v>20</v>
      </c>
      <c r="N12" s="398">
        <f>SUM(N11:N11)</f>
        <v>3.9044016000000001E-2</v>
      </c>
      <c r="O12" s="84"/>
    </row>
    <row r="13" spans="1:17" ht="14.45" x14ac:dyDescent="0.3">
      <c r="A13" s="88"/>
      <c r="B13" s="80"/>
      <c r="C13" s="80"/>
      <c r="D13" s="80"/>
      <c r="E13" s="80"/>
      <c r="F13" s="80"/>
      <c r="G13" s="80"/>
      <c r="H13" s="80"/>
      <c r="I13" s="80"/>
      <c r="J13" s="80"/>
      <c r="K13" s="80"/>
      <c r="L13" s="80"/>
      <c r="M13" s="80"/>
      <c r="N13" s="80"/>
      <c r="O13" s="84"/>
    </row>
    <row r="14" spans="1:17" ht="14.45" x14ac:dyDescent="0.3">
      <c r="A14" s="405" t="s">
        <v>16</v>
      </c>
      <c r="B14" s="404" t="s">
        <v>21</v>
      </c>
      <c r="C14" s="404" t="s">
        <v>22</v>
      </c>
      <c r="D14" s="404" t="s">
        <v>23</v>
      </c>
      <c r="E14" s="404" t="s">
        <v>24</v>
      </c>
      <c r="F14" s="404" t="s">
        <v>19</v>
      </c>
      <c r="G14" s="404" t="s">
        <v>25</v>
      </c>
      <c r="H14" s="404" t="s">
        <v>26</v>
      </c>
      <c r="I14" s="404" t="s">
        <v>20</v>
      </c>
      <c r="J14" s="94"/>
      <c r="K14" s="94"/>
      <c r="L14" s="94"/>
      <c r="M14" s="94"/>
      <c r="N14" s="94"/>
      <c r="O14" s="84"/>
    </row>
    <row r="15" spans="1:17" ht="28.9" x14ac:dyDescent="0.3">
      <c r="A15" s="227">
        <v>10</v>
      </c>
      <c r="B15" s="227" t="s">
        <v>81</v>
      </c>
      <c r="C15" s="227" t="s">
        <v>103</v>
      </c>
      <c r="D15" s="402">
        <v>1.3</v>
      </c>
      <c r="E15" s="227" t="s">
        <v>24</v>
      </c>
      <c r="F15" s="323">
        <v>1</v>
      </c>
      <c r="G15" s="431" t="s">
        <v>245</v>
      </c>
      <c r="H15" s="431">
        <v>0.5</v>
      </c>
      <c r="I15" s="230">
        <f>IF(H15="",D15*F15,D15*F15*H15)</f>
        <v>0.65</v>
      </c>
      <c r="J15" s="400"/>
      <c r="K15" s="400"/>
      <c r="L15" s="400"/>
      <c r="M15" s="400"/>
      <c r="N15" s="400"/>
      <c r="O15" s="95"/>
    </row>
    <row r="16" spans="1:17" ht="14.45" x14ac:dyDescent="0.3">
      <c r="A16" s="429">
        <v>20</v>
      </c>
      <c r="B16" s="429" t="s">
        <v>80</v>
      </c>
      <c r="C16" s="429" t="s">
        <v>126</v>
      </c>
      <c r="D16" s="430">
        <v>0.04</v>
      </c>
      <c r="E16" s="429" t="s">
        <v>79</v>
      </c>
      <c r="F16" s="429">
        <v>2.5</v>
      </c>
      <c r="G16" s="429" t="s">
        <v>95</v>
      </c>
      <c r="H16" s="429">
        <v>3</v>
      </c>
      <c r="I16" s="230">
        <f>IF(H16="",D16*F16,D16*F16*H16)</f>
        <v>0.30000000000000004</v>
      </c>
      <c r="J16" s="80"/>
      <c r="K16" s="80"/>
      <c r="L16" s="80"/>
      <c r="M16" s="80"/>
      <c r="N16" s="80"/>
      <c r="O16" s="84"/>
    </row>
    <row r="17" spans="1:15" ht="14.45" x14ac:dyDescent="0.3">
      <c r="A17" s="93"/>
      <c r="B17" s="94"/>
      <c r="C17" s="94"/>
      <c r="D17" s="94"/>
      <c r="E17" s="94"/>
      <c r="F17" s="94"/>
      <c r="G17" s="94"/>
      <c r="H17" s="399" t="s">
        <v>20</v>
      </c>
      <c r="I17" s="398">
        <f>SUM(I15:I16)</f>
        <v>0.95000000000000007</v>
      </c>
      <c r="J17" s="94"/>
      <c r="K17" s="94"/>
      <c r="L17" s="94"/>
      <c r="M17" s="94"/>
      <c r="N17" s="94"/>
      <c r="O17" s="84"/>
    </row>
    <row r="18" spans="1:15" thickBot="1" x14ac:dyDescent="0.35">
      <c r="A18" s="97"/>
      <c r="B18" s="98"/>
      <c r="C18" s="98"/>
      <c r="D18" s="98"/>
      <c r="E18" s="98"/>
      <c r="F18" s="98"/>
      <c r="G18" s="98"/>
      <c r="H18" s="98"/>
      <c r="I18" s="98"/>
      <c r="J18" s="98"/>
      <c r="K18" s="98"/>
      <c r="L18" s="98"/>
      <c r="M18" s="98"/>
      <c r="N18" s="98"/>
      <c r="O18" s="99"/>
    </row>
  </sheetData>
  <hyperlinks>
    <hyperlink ref="B4" location="'SU A0100'!A1" display="'SU A0100'!A1"/>
    <hyperlink ref="E3" location="dSU_01005" display="Drawing"/>
    <hyperlink ref="G2" location="SU_A0100_BOM" display="Back to BOM"/>
  </hyperlinks>
  <pageMargins left="0.31496062992125984" right="0.31496062992125984" top="0.31496062992125984" bottom="0.39370078740157483" header="0.51181102362204722" footer="0.31496062992125984"/>
  <pageSetup paperSize="9" scale="70" fitToHeight="99" orientation="landscape" horizontalDpi="1200" verticalDpi="1200"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80"/>
  <sheetViews>
    <sheetView zoomScale="80" zoomScaleNormal="8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31.85546875" style="103" customWidth="1"/>
    <col min="3" max="3" width="28.7109375" style="103" customWidth="1"/>
    <col min="4" max="6" width="11.5703125" style="103"/>
    <col min="7" max="7" width="25.140625" style="103" customWidth="1"/>
    <col min="8" max="8" width="11.5703125" style="103"/>
    <col min="9" max="9" width="27.28515625" style="103" customWidth="1"/>
    <col min="10" max="10" width="13.5703125" style="103" customWidth="1"/>
    <col min="11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888" t="s">
        <v>0</v>
      </c>
      <c r="B2" s="104" t="s">
        <v>1</v>
      </c>
      <c r="C2" s="869"/>
      <c r="D2" s="869"/>
      <c r="E2" s="869"/>
      <c r="F2" s="58" t="s">
        <v>2</v>
      </c>
      <c r="G2" s="869"/>
      <c r="H2" s="869"/>
      <c r="I2" s="869"/>
      <c r="J2" s="891" t="s">
        <v>3</v>
      </c>
      <c r="K2" s="872">
        <v>81</v>
      </c>
      <c r="L2" s="869"/>
      <c r="M2" s="888" t="s">
        <v>18</v>
      </c>
      <c r="N2" s="871">
        <f>SU_06001_m+SU_06001_p</f>
        <v>1.3710986506763019</v>
      </c>
      <c r="O2" s="128"/>
    </row>
    <row r="3" spans="1:15" ht="14.45" x14ac:dyDescent="0.3">
      <c r="A3" s="888" t="s">
        <v>5</v>
      </c>
      <c r="B3" s="104" t="str">
        <f>'SU A0600'!B3</f>
        <v>Suspension &amp; Shocks</v>
      </c>
      <c r="C3" s="869"/>
      <c r="D3" s="888" t="s">
        <v>8</v>
      </c>
      <c r="E3" s="869"/>
      <c r="F3" s="869"/>
      <c r="G3" s="869"/>
      <c r="H3" s="869"/>
      <c r="I3" s="869"/>
      <c r="J3" s="869"/>
      <c r="K3" s="869"/>
      <c r="L3" s="869"/>
      <c r="M3" s="888" t="s">
        <v>6</v>
      </c>
      <c r="N3" s="890">
        <v>2</v>
      </c>
      <c r="O3" s="128"/>
    </row>
    <row r="4" spans="1:15" ht="14.45" x14ac:dyDescent="0.3">
      <c r="A4" s="888" t="s">
        <v>7</v>
      </c>
      <c r="B4" s="58" t="str">
        <f>'SU A0600'!B4</f>
        <v>Front Bell Crank</v>
      </c>
      <c r="C4" s="869"/>
      <c r="D4" s="888" t="s">
        <v>10</v>
      </c>
      <c r="E4" s="869"/>
      <c r="F4" s="869"/>
      <c r="G4" s="869"/>
      <c r="H4" s="869"/>
      <c r="I4" s="869"/>
      <c r="J4" s="888" t="s">
        <v>8</v>
      </c>
      <c r="K4" s="869"/>
      <c r="L4" s="869"/>
      <c r="M4" s="869"/>
      <c r="N4" s="869"/>
      <c r="O4" s="128"/>
    </row>
    <row r="5" spans="1:15" ht="14.45" x14ac:dyDescent="0.3">
      <c r="A5" s="888" t="s">
        <v>17</v>
      </c>
      <c r="B5" s="889" t="s">
        <v>177</v>
      </c>
      <c r="C5" s="869"/>
      <c r="D5" s="888" t="s">
        <v>14</v>
      </c>
      <c r="E5" s="869"/>
      <c r="F5" s="869"/>
      <c r="G5" s="869"/>
      <c r="H5" s="869"/>
      <c r="I5" s="869"/>
      <c r="J5" s="888" t="s">
        <v>10</v>
      </c>
      <c r="K5" s="869"/>
      <c r="L5" s="869"/>
      <c r="M5" s="888" t="s">
        <v>11</v>
      </c>
      <c r="N5" s="871">
        <f>N2*SU_06001_q</f>
        <v>2.7421973013526038</v>
      </c>
      <c r="O5" s="128"/>
    </row>
    <row r="6" spans="1:15" ht="14.45" x14ac:dyDescent="0.3">
      <c r="A6" s="888" t="s">
        <v>9</v>
      </c>
      <c r="B6" s="869" t="s">
        <v>384</v>
      </c>
      <c r="C6" s="869"/>
      <c r="D6" s="869"/>
      <c r="E6" s="869"/>
      <c r="F6" s="869"/>
      <c r="G6" s="869"/>
      <c r="H6" s="869"/>
      <c r="I6" s="869"/>
      <c r="J6" s="888" t="s">
        <v>14</v>
      </c>
      <c r="K6" s="869"/>
      <c r="L6" s="869"/>
      <c r="M6" s="869"/>
      <c r="N6" s="869"/>
      <c r="O6" s="128"/>
    </row>
    <row r="7" spans="1:15" ht="14.45" x14ac:dyDescent="0.3">
      <c r="A7" s="888" t="s">
        <v>12</v>
      </c>
      <c r="B7" s="104" t="s">
        <v>13</v>
      </c>
      <c r="C7" s="869"/>
      <c r="D7" s="869"/>
      <c r="E7" s="869"/>
      <c r="F7" s="869"/>
      <c r="G7" s="869"/>
      <c r="H7" s="869"/>
      <c r="I7" s="869"/>
      <c r="J7" s="869"/>
      <c r="K7" s="869"/>
      <c r="L7" s="869"/>
      <c r="M7" s="869"/>
      <c r="N7" s="869"/>
      <c r="O7" s="128"/>
    </row>
    <row r="8" spans="1:15" ht="14.45" x14ac:dyDescent="0.3">
      <c r="A8" s="888" t="s">
        <v>15</v>
      </c>
      <c r="B8" s="104"/>
      <c r="C8" s="869"/>
      <c r="D8" s="869"/>
      <c r="E8" s="869"/>
      <c r="F8" s="869"/>
      <c r="G8" s="869"/>
      <c r="H8" s="869"/>
      <c r="I8" s="869"/>
      <c r="J8" s="869"/>
      <c r="K8" s="869"/>
      <c r="L8" s="869"/>
      <c r="M8" s="869"/>
      <c r="N8" s="869"/>
      <c r="O8" s="128"/>
    </row>
    <row r="9" spans="1:15" ht="14.45" x14ac:dyDescent="0.3">
      <c r="A9" s="870"/>
      <c r="B9" s="869"/>
      <c r="C9" s="869"/>
      <c r="D9" s="869"/>
      <c r="E9" s="869"/>
      <c r="F9" s="869"/>
      <c r="G9" s="869"/>
      <c r="H9" s="869"/>
      <c r="I9" s="869"/>
      <c r="J9" s="869"/>
      <c r="K9" s="869"/>
      <c r="L9" s="869"/>
      <c r="M9" s="869"/>
      <c r="N9" s="869"/>
      <c r="O9" s="128"/>
    </row>
    <row r="10" spans="1:15" ht="14.45" x14ac:dyDescent="0.3">
      <c r="A10" s="881" t="s">
        <v>16</v>
      </c>
      <c r="B10" s="880" t="s">
        <v>38</v>
      </c>
      <c r="C10" s="880" t="s">
        <v>22</v>
      </c>
      <c r="D10" s="880" t="s">
        <v>23</v>
      </c>
      <c r="E10" s="880" t="s">
        <v>31</v>
      </c>
      <c r="F10" s="880" t="s">
        <v>32</v>
      </c>
      <c r="G10" s="880" t="s">
        <v>33</v>
      </c>
      <c r="H10" s="880" t="s">
        <v>34</v>
      </c>
      <c r="I10" s="880" t="s">
        <v>39</v>
      </c>
      <c r="J10" s="880" t="s">
        <v>40</v>
      </c>
      <c r="K10" s="880" t="s">
        <v>41</v>
      </c>
      <c r="L10" s="880" t="s">
        <v>42</v>
      </c>
      <c r="M10" s="880" t="s">
        <v>19</v>
      </c>
      <c r="N10" s="880" t="s">
        <v>20</v>
      </c>
      <c r="O10" s="128"/>
    </row>
    <row r="11" spans="1:15" ht="14.45" x14ac:dyDescent="0.3">
      <c r="A11" s="879">
        <v>10</v>
      </c>
      <c r="B11" s="247" t="s">
        <v>383</v>
      </c>
      <c r="C11" s="878" t="s">
        <v>382</v>
      </c>
      <c r="D11" s="877">
        <v>3.3</v>
      </c>
      <c r="E11" s="887">
        <f>J11*K11*L11</f>
        <v>1.3969288083727863E-2</v>
      </c>
      <c r="F11" s="878" t="s">
        <v>43</v>
      </c>
      <c r="G11" s="878"/>
      <c r="H11" s="886"/>
      <c r="I11" s="885" t="s">
        <v>381</v>
      </c>
      <c r="J11" s="885">
        <f>PI()*(7.5*10^-3)^2</f>
        <v>1.7671458676442585E-4</v>
      </c>
      <c r="K11" s="884">
        <v>9.2999999999999992E-3</v>
      </c>
      <c r="L11" s="883">
        <v>8500</v>
      </c>
      <c r="M11" s="883">
        <v>1</v>
      </c>
      <c r="N11" s="877">
        <f>D11*E11</f>
        <v>4.6098650676301943E-2</v>
      </c>
      <c r="O11" s="128"/>
    </row>
    <row r="12" spans="1:15" ht="14.45" x14ac:dyDescent="0.3">
      <c r="A12" s="876"/>
      <c r="B12" s="873"/>
      <c r="C12" s="873"/>
      <c r="D12" s="873"/>
      <c r="E12" s="873"/>
      <c r="F12" s="873"/>
      <c r="G12" s="873"/>
      <c r="H12" s="873"/>
      <c r="I12" s="873"/>
      <c r="J12" s="873"/>
      <c r="K12" s="873"/>
      <c r="L12" s="873"/>
      <c r="M12" s="875" t="s">
        <v>20</v>
      </c>
      <c r="N12" s="882">
        <f>N11</f>
        <v>4.6098650676301943E-2</v>
      </c>
      <c r="O12" s="128"/>
    </row>
    <row r="13" spans="1:15" ht="14.45" x14ac:dyDescent="0.3">
      <c r="A13" s="870"/>
      <c r="B13" s="869"/>
      <c r="C13" s="869"/>
      <c r="D13" s="869"/>
      <c r="E13" s="869"/>
      <c r="F13" s="869"/>
      <c r="G13" s="869"/>
      <c r="H13" s="869"/>
      <c r="I13" s="869"/>
      <c r="J13" s="869"/>
      <c r="K13" s="869"/>
      <c r="L13" s="869"/>
      <c r="M13" s="869"/>
      <c r="N13" s="869"/>
      <c r="O13" s="128"/>
    </row>
    <row r="14" spans="1:15" ht="14.45" x14ac:dyDescent="0.3">
      <c r="A14" s="881" t="s">
        <v>16</v>
      </c>
      <c r="B14" s="880" t="s">
        <v>21</v>
      </c>
      <c r="C14" s="880" t="s">
        <v>22</v>
      </c>
      <c r="D14" s="880" t="s">
        <v>23</v>
      </c>
      <c r="E14" s="880" t="s">
        <v>24</v>
      </c>
      <c r="F14" s="880" t="s">
        <v>19</v>
      </c>
      <c r="G14" s="880" t="s">
        <v>25</v>
      </c>
      <c r="H14" s="880" t="s">
        <v>26</v>
      </c>
      <c r="I14" s="880" t="s">
        <v>20</v>
      </c>
      <c r="J14" s="873"/>
      <c r="K14" s="873"/>
      <c r="L14" s="873"/>
      <c r="M14" s="873"/>
      <c r="N14" s="873"/>
      <c r="O14" s="128"/>
    </row>
    <row r="15" spans="1:15" ht="14.45" x14ac:dyDescent="0.3">
      <c r="A15" s="879">
        <v>10</v>
      </c>
      <c r="B15" s="878" t="s">
        <v>81</v>
      </c>
      <c r="C15" s="878"/>
      <c r="D15" s="877">
        <v>1.3</v>
      </c>
      <c r="E15" s="878" t="s">
        <v>72</v>
      </c>
      <c r="F15" s="878">
        <v>1</v>
      </c>
      <c r="G15" s="878"/>
      <c r="H15" s="878"/>
      <c r="I15" s="877">
        <v>1.3</v>
      </c>
      <c r="J15" s="869"/>
      <c r="K15" s="869"/>
      <c r="L15" s="869"/>
      <c r="M15" s="869"/>
      <c r="N15" s="869"/>
      <c r="O15" s="128"/>
    </row>
    <row r="16" spans="1:15" ht="14.45" x14ac:dyDescent="0.3">
      <c r="A16" s="879">
        <v>20</v>
      </c>
      <c r="B16" s="878" t="s">
        <v>380</v>
      </c>
      <c r="C16" s="878" t="s">
        <v>379</v>
      </c>
      <c r="D16" s="877">
        <v>0.04</v>
      </c>
      <c r="E16" s="878" t="s">
        <v>79</v>
      </c>
      <c r="F16" s="878">
        <v>1.25</v>
      </c>
      <c r="G16" s="878" t="s">
        <v>105</v>
      </c>
      <c r="H16" s="878">
        <v>0.5</v>
      </c>
      <c r="I16" s="877">
        <f>D16*F16*H16</f>
        <v>2.5000000000000001E-2</v>
      </c>
      <c r="J16" s="869"/>
      <c r="K16" s="869"/>
      <c r="L16" s="869"/>
      <c r="M16" s="869"/>
      <c r="N16" s="869"/>
      <c r="O16" s="128"/>
    </row>
    <row r="17" spans="1:15" ht="14.45" x14ac:dyDescent="0.3">
      <c r="A17" s="876"/>
      <c r="B17" s="873"/>
      <c r="C17" s="873"/>
      <c r="D17" s="873"/>
      <c r="E17" s="873"/>
      <c r="F17" s="873"/>
      <c r="G17" s="873"/>
      <c r="H17" s="875" t="s">
        <v>20</v>
      </c>
      <c r="I17" s="874">
        <f>I15+I16</f>
        <v>1.325</v>
      </c>
      <c r="J17" s="873"/>
      <c r="K17" s="873"/>
      <c r="L17" s="873"/>
      <c r="M17" s="873"/>
      <c r="N17" s="873"/>
      <c r="O17" s="128"/>
    </row>
    <row r="18" spans="1:15" ht="14.45" x14ac:dyDescent="0.3">
      <c r="A18" s="870"/>
      <c r="B18" s="869"/>
      <c r="C18" s="869"/>
      <c r="D18" s="869"/>
      <c r="E18" s="869"/>
      <c r="F18" s="869"/>
      <c r="G18" s="869"/>
      <c r="H18" s="872"/>
      <c r="I18" s="871"/>
      <c r="J18" s="869"/>
      <c r="K18" s="869"/>
      <c r="L18" s="869"/>
      <c r="M18" s="869"/>
      <c r="N18" s="869"/>
      <c r="O18" s="128"/>
    </row>
    <row r="19" spans="1:15" ht="14.45" x14ac:dyDescent="0.3">
      <c r="A19" s="870"/>
      <c r="B19" s="869"/>
      <c r="C19" s="869"/>
      <c r="D19" s="869"/>
      <c r="E19" s="869"/>
      <c r="F19" s="869"/>
      <c r="G19" s="869"/>
      <c r="H19" s="869"/>
      <c r="I19" s="869"/>
      <c r="J19" s="869"/>
      <c r="K19" s="869"/>
      <c r="L19" s="869"/>
      <c r="M19" s="869"/>
      <c r="N19" s="869"/>
      <c r="O19" s="128"/>
    </row>
    <row r="20" spans="1:15" ht="14.45" x14ac:dyDescent="0.3">
      <c r="A20" s="870"/>
      <c r="B20" s="869"/>
      <c r="C20" s="869"/>
      <c r="D20" s="869"/>
      <c r="E20" s="869"/>
      <c r="F20" s="869"/>
      <c r="G20" s="869"/>
      <c r="H20" s="869"/>
      <c r="I20" s="869"/>
      <c r="J20" s="869"/>
      <c r="K20" s="869"/>
      <c r="L20" s="869"/>
      <c r="M20" s="869"/>
      <c r="N20" s="869"/>
      <c r="O20" s="128"/>
    </row>
    <row r="21" spans="1:15" ht="14.45" x14ac:dyDescent="0.3">
      <c r="A21" s="870"/>
      <c r="B21" s="869"/>
      <c r="C21" s="869"/>
      <c r="D21" s="869"/>
      <c r="E21" s="869"/>
      <c r="F21" s="869"/>
      <c r="G21" s="869"/>
      <c r="H21" s="869"/>
      <c r="I21" s="869"/>
      <c r="J21" s="869"/>
      <c r="K21" s="869"/>
      <c r="L21" s="869"/>
      <c r="M21" s="869"/>
      <c r="N21" s="869"/>
      <c r="O21" s="128"/>
    </row>
    <row r="22" spans="1:15" thickBot="1" x14ac:dyDescent="0.35">
      <c r="A22" s="868"/>
      <c r="B22" s="867"/>
      <c r="C22" s="867"/>
      <c r="D22" s="867"/>
      <c r="E22" s="867"/>
      <c r="F22" s="867"/>
      <c r="G22" s="867"/>
      <c r="H22" s="867"/>
      <c r="I22" s="867"/>
      <c r="J22" s="867"/>
      <c r="K22" s="867"/>
      <c r="L22" s="867"/>
      <c r="M22" s="867"/>
      <c r="N22" s="867"/>
      <c r="O22" s="140"/>
    </row>
    <row r="23" spans="1:15" ht="14.45" x14ac:dyDescent="0.3">
      <c r="A23" s="104"/>
      <c r="B23" s="865"/>
      <c r="C23" s="865"/>
      <c r="D23" s="865"/>
      <c r="E23" s="865"/>
      <c r="F23" s="865"/>
      <c r="G23" s="865"/>
      <c r="H23" s="865"/>
      <c r="I23" s="865"/>
      <c r="J23" s="865"/>
      <c r="K23" s="865"/>
      <c r="L23" s="865"/>
      <c r="M23" s="865"/>
      <c r="N23" s="865"/>
    </row>
    <row r="24" spans="1:15" ht="14.45" x14ac:dyDescent="0.3">
      <c r="A24" s="104"/>
      <c r="B24" s="865"/>
      <c r="C24" s="865"/>
      <c r="D24" s="865"/>
      <c r="E24" s="865"/>
      <c r="F24" s="865"/>
      <c r="G24" s="865"/>
      <c r="H24" s="865"/>
      <c r="I24" s="865"/>
      <c r="J24" s="865"/>
      <c r="K24" s="865"/>
      <c r="L24" s="865"/>
      <c r="M24" s="865"/>
      <c r="N24" s="865"/>
    </row>
    <row r="25" spans="1:15" ht="14.45" x14ac:dyDescent="0.3">
      <c r="A25" s="58"/>
      <c r="B25" s="865"/>
      <c r="C25" s="865"/>
      <c r="D25" s="865"/>
      <c r="E25" s="865"/>
      <c r="F25" s="865"/>
      <c r="G25" s="865"/>
      <c r="H25" s="865"/>
      <c r="I25" s="865"/>
      <c r="J25" s="865"/>
      <c r="K25" s="865"/>
      <c r="L25" s="865"/>
      <c r="M25" s="865"/>
      <c r="N25" s="865"/>
    </row>
    <row r="26" spans="1:15" ht="14.45" x14ac:dyDescent="0.3">
      <c r="A26" s="108"/>
      <c r="B26" s="865"/>
      <c r="C26" s="865"/>
      <c r="D26" s="865"/>
      <c r="E26" s="865"/>
      <c r="F26" s="865"/>
      <c r="G26" s="865"/>
      <c r="H26" s="865"/>
      <c r="I26" s="865"/>
      <c r="J26" s="865"/>
      <c r="K26" s="865"/>
      <c r="L26" s="865"/>
      <c r="M26" s="865"/>
      <c r="N26" s="865"/>
    </row>
    <row r="27" spans="1:15" ht="14.45" x14ac:dyDescent="0.3">
      <c r="A27" s="109"/>
      <c r="B27" s="865"/>
      <c r="C27" s="865"/>
      <c r="D27" s="865"/>
      <c r="E27" s="865"/>
      <c r="F27" s="865"/>
      <c r="G27" s="865"/>
      <c r="H27" s="865"/>
      <c r="I27" s="865"/>
      <c r="J27" s="865"/>
      <c r="K27" s="865"/>
      <c r="L27" s="865"/>
      <c r="M27" s="865"/>
      <c r="N27" s="865"/>
    </row>
    <row r="28" spans="1:15" ht="14.45" x14ac:dyDescent="0.3">
      <c r="A28" s="104"/>
      <c r="B28" s="865"/>
      <c r="C28" s="865"/>
      <c r="D28" s="865"/>
      <c r="E28" s="865"/>
      <c r="F28" s="865"/>
      <c r="G28" s="865"/>
      <c r="H28" s="865"/>
      <c r="I28" s="865"/>
      <c r="J28" s="865"/>
      <c r="K28" s="865"/>
      <c r="L28" s="865"/>
      <c r="M28" s="865"/>
      <c r="N28" s="865"/>
    </row>
    <row r="29" spans="1:15" ht="14.45" x14ac:dyDescent="0.3">
      <c r="A29" s="104"/>
      <c r="B29" s="865"/>
      <c r="C29" s="865"/>
      <c r="D29" s="865"/>
      <c r="E29" s="865"/>
      <c r="F29" s="865"/>
      <c r="G29" s="865"/>
      <c r="H29" s="865"/>
      <c r="I29" s="865"/>
      <c r="J29" s="865"/>
      <c r="K29" s="865"/>
      <c r="L29" s="865"/>
      <c r="M29" s="865"/>
      <c r="N29" s="865"/>
    </row>
    <row r="30" spans="1:15" x14ac:dyDescent="0.25">
      <c r="A30" s="865"/>
      <c r="B30" s="865"/>
      <c r="C30" s="865"/>
      <c r="D30" s="865"/>
      <c r="E30" s="865"/>
      <c r="F30" s="865"/>
      <c r="G30" s="865"/>
      <c r="H30" s="865"/>
      <c r="I30" s="865"/>
      <c r="J30" s="865"/>
      <c r="K30" s="865"/>
      <c r="L30" s="865"/>
      <c r="M30" s="865"/>
      <c r="N30" s="865"/>
    </row>
    <row r="31" spans="1:15" x14ac:dyDescent="0.25">
      <c r="A31" s="865"/>
      <c r="B31" s="865"/>
      <c r="C31" s="865"/>
      <c r="D31" s="865"/>
      <c r="E31" s="865"/>
      <c r="F31" s="865"/>
      <c r="G31" s="865"/>
      <c r="H31" s="865"/>
      <c r="I31" s="865"/>
      <c r="J31" s="865"/>
      <c r="K31" s="865"/>
      <c r="L31" s="865"/>
      <c r="M31" s="865"/>
      <c r="N31" s="865"/>
    </row>
    <row r="32" spans="1:15" x14ac:dyDescent="0.25">
      <c r="A32" s="865"/>
      <c r="B32" s="865"/>
      <c r="C32" s="865"/>
      <c r="D32" s="865"/>
      <c r="E32" s="865"/>
      <c r="F32" s="865"/>
      <c r="G32" s="865"/>
      <c r="H32" s="865"/>
      <c r="I32" s="865"/>
      <c r="J32" s="865"/>
      <c r="K32" s="865"/>
      <c r="L32" s="865"/>
      <c r="M32" s="865"/>
      <c r="N32" s="865"/>
    </row>
    <row r="33" spans="1:14" x14ac:dyDescent="0.25">
      <c r="A33" s="865"/>
      <c r="B33" s="865"/>
      <c r="C33" s="865"/>
      <c r="D33" s="865"/>
      <c r="E33" s="865"/>
      <c r="F33" s="865"/>
      <c r="G33" s="865"/>
      <c r="H33" s="865"/>
      <c r="I33" s="865"/>
      <c r="J33" s="865"/>
      <c r="K33" s="865"/>
      <c r="L33" s="865"/>
      <c r="M33" s="865"/>
      <c r="N33" s="865"/>
    </row>
    <row r="34" spans="1:14" x14ac:dyDescent="0.25">
      <c r="A34" s="865"/>
      <c r="B34" s="865"/>
      <c r="C34" s="865"/>
      <c r="D34" s="865"/>
      <c r="E34" s="865"/>
      <c r="F34" s="865"/>
      <c r="G34" s="865"/>
      <c r="H34" s="865"/>
      <c r="I34" s="865"/>
      <c r="J34" s="865"/>
      <c r="K34" s="865"/>
      <c r="L34" s="865"/>
      <c r="M34" s="865"/>
      <c r="N34" s="865"/>
    </row>
    <row r="35" spans="1:14" x14ac:dyDescent="0.25">
      <c r="A35" s="865"/>
      <c r="B35" s="865"/>
      <c r="C35" s="865"/>
      <c r="D35" s="865"/>
      <c r="E35" s="865"/>
      <c r="F35" s="865"/>
      <c r="G35" s="865"/>
      <c r="H35" s="865"/>
      <c r="I35" s="865"/>
      <c r="J35" s="865"/>
      <c r="K35" s="865"/>
      <c r="L35" s="865"/>
      <c r="M35" s="865"/>
      <c r="N35" s="865"/>
    </row>
    <row r="36" spans="1:14" x14ac:dyDescent="0.25">
      <c r="A36" s="865"/>
      <c r="B36" s="865"/>
      <c r="C36" s="865"/>
      <c r="D36" s="865"/>
      <c r="E36" s="865"/>
      <c r="F36" s="865"/>
      <c r="G36" s="865"/>
      <c r="H36" s="865"/>
      <c r="I36" s="865"/>
      <c r="J36" s="865"/>
      <c r="K36" s="865"/>
      <c r="L36" s="865"/>
      <c r="M36" s="865"/>
      <c r="N36" s="865"/>
    </row>
    <row r="37" spans="1:14" x14ac:dyDescent="0.25">
      <c r="A37" s="865"/>
      <c r="B37" s="865"/>
      <c r="C37" s="865"/>
      <c r="D37" s="865"/>
      <c r="E37" s="865"/>
      <c r="F37" s="865"/>
      <c r="G37" s="865"/>
      <c r="H37" s="865"/>
      <c r="I37" s="865"/>
      <c r="J37" s="865"/>
      <c r="K37" s="865"/>
      <c r="L37" s="865"/>
      <c r="M37" s="865"/>
      <c r="N37" s="865"/>
    </row>
    <row r="38" spans="1:14" x14ac:dyDescent="0.25">
      <c r="A38" s="865"/>
      <c r="B38" s="865"/>
      <c r="C38" s="865"/>
      <c r="D38" s="865"/>
      <c r="E38" s="865"/>
      <c r="F38" s="865"/>
      <c r="G38" s="865"/>
      <c r="H38" s="865"/>
      <c r="I38" s="865"/>
      <c r="J38" s="865"/>
      <c r="K38" s="865"/>
      <c r="L38" s="865"/>
      <c r="M38" s="865"/>
      <c r="N38" s="865"/>
    </row>
    <row r="39" spans="1:14" x14ac:dyDescent="0.25">
      <c r="A39" s="865"/>
      <c r="B39" s="865"/>
      <c r="C39" s="865"/>
      <c r="D39" s="865"/>
      <c r="E39" s="865"/>
      <c r="F39" s="865"/>
      <c r="G39" s="865"/>
      <c r="H39" s="865"/>
      <c r="I39" s="865"/>
      <c r="J39" s="865"/>
      <c r="K39" s="865"/>
      <c r="L39" s="865"/>
      <c r="M39" s="865"/>
      <c r="N39" s="865"/>
    </row>
    <row r="40" spans="1:14" x14ac:dyDescent="0.25">
      <c r="A40" s="865"/>
      <c r="B40" s="865"/>
      <c r="C40" s="865"/>
      <c r="D40" s="865"/>
      <c r="E40" s="865"/>
      <c r="F40" s="865"/>
      <c r="G40" s="865"/>
      <c r="H40" s="865"/>
      <c r="I40" s="865"/>
      <c r="J40" s="865"/>
      <c r="K40" s="865"/>
      <c r="L40" s="865"/>
      <c r="M40" s="865"/>
      <c r="N40" s="865"/>
    </row>
    <row r="41" spans="1:14" x14ac:dyDescent="0.25">
      <c r="A41" s="865"/>
      <c r="B41" s="865"/>
      <c r="C41" s="865"/>
      <c r="D41" s="865"/>
      <c r="E41" s="865"/>
      <c r="F41" s="865"/>
      <c r="G41" s="865"/>
      <c r="H41" s="865"/>
      <c r="I41" s="865"/>
      <c r="J41" s="865"/>
      <c r="K41" s="865"/>
      <c r="L41" s="865"/>
      <c r="M41" s="865"/>
      <c r="N41" s="865"/>
    </row>
    <row r="42" spans="1:14" x14ac:dyDescent="0.25">
      <c r="A42" s="865"/>
      <c r="B42" s="865"/>
      <c r="C42" s="865"/>
      <c r="D42" s="865"/>
      <c r="E42" s="865"/>
      <c r="F42" s="865"/>
      <c r="G42" s="865"/>
      <c r="H42" s="865"/>
      <c r="I42" s="865"/>
      <c r="J42" s="865"/>
      <c r="K42" s="865"/>
      <c r="L42" s="865"/>
      <c r="M42" s="865"/>
      <c r="N42" s="865"/>
    </row>
    <row r="43" spans="1:14" x14ac:dyDescent="0.25">
      <c r="A43" s="865"/>
      <c r="B43" s="865"/>
      <c r="C43" s="865"/>
      <c r="D43" s="865"/>
      <c r="E43" s="865"/>
      <c r="F43" s="865"/>
      <c r="G43" s="865"/>
      <c r="H43" s="865"/>
      <c r="I43" s="865"/>
      <c r="J43" s="865"/>
      <c r="K43" s="865"/>
      <c r="L43" s="865"/>
      <c r="M43" s="865"/>
      <c r="N43" s="865"/>
    </row>
    <row r="44" spans="1:14" x14ac:dyDescent="0.25">
      <c r="A44" s="865"/>
      <c r="B44" s="865"/>
      <c r="C44" s="865"/>
      <c r="D44" s="865"/>
      <c r="E44" s="865"/>
      <c r="F44" s="865"/>
      <c r="G44" s="865"/>
      <c r="H44" s="865"/>
      <c r="I44" s="865"/>
      <c r="J44" s="865"/>
      <c r="K44" s="865"/>
      <c r="L44" s="865"/>
      <c r="M44" s="865"/>
      <c r="N44" s="865"/>
    </row>
    <row r="45" spans="1:14" x14ac:dyDescent="0.25">
      <c r="A45" s="865"/>
      <c r="B45" s="865"/>
      <c r="C45" s="865"/>
      <c r="D45" s="865"/>
      <c r="E45" s="865"/>
      <c r="F45" s="865"/>
      <c r="G45" s="865"/>
      <c r="H45" s="865"/>
      <c r="I45" s="865"/>
      <c r="J45" s="865"/>
      <c r="K45" s="865"/>
      <c r="L45" s="865"/>
      <c r="M45" s="865"/>
      <c r="N45" s="865"/>
    </row>
    <row r="46" spans="1:14" x14ac:dyDescent="0.25">
      <c r="A46" s="865"/>
      <c r="B46" s="865"/>
      <c r="C46" s="865"/>
      <c r="D46" s="865"/>
      <c r="E46" s="865"/>
      <c r="F46" s="865"/>
      <c r="G46" s="865"/>
      <c r="H46" s="865"/>
      <c r="I46" s="865"/>
      <c r="J46" s="865"/>
      <c r="K46" s="865"/>
      <c r="L46" s="865"/>
      <c r="M46" s="865"/>
      <c r="N46" s="865"/>
    </row>
    <row r="47" spans="1:14" x14ac:dyDescent="0.25">
      <c r="A47" s="865"/>
      <c r="B47" s="865"/>
      <c r="C47" s="865"/>
      <c r="D47" s="865"/>
      <c r="E47" s="865"/>
      <c r="F47" s="865"/>
      <c r="G47" s="865"/>
      <c r="H47" s="865"/>
      <c r="I47" s="865"/>
      <c r="J47" s="865"/>
      <c r="K47" s="865"/>
      <c r="L47" s="865"/>
      <c r="M47" s="865"/>
      <c r="N47" s="865"/>
    </row>
    <row r="48" spans="1:14" x14ac:dyDescent="0.25">
      <c r="A48" s="865"/>
      <c r="B48" s="865"/>
      <c r="C48" s="865"/>
      <c r="D48" s="865"/>
      <c r="E48" s="865"/>
      <c r="F48" s="865"/>
      <c r="G48" s="865"/>
      <c r="H48" s="865"/>
      <c r="I48" s="865"/>
      <c r="J48" s="865"/>
      <c r="K48" s="865"/>
      <c r="L48" s="865"/>
      <c r="M48" s="865"/>
      <c r="N48" s="865"/>
    </row>
    <row r="49" spans="1:14" x14ac:dyDescent="0.25">
      <c r="A49" s="865"/>
      <c r="B49" s="865"/>
      <c r="C49" s="865"/>
      <c r="D49" s="865"/>
      <c r="E49" s="865"/>
      <c r="F49" s="865"/>
      <c r="G49" s="865"/>
      <c r="H49" s="865"/>
      <c r="I49" s="865"/>
      <c r="J49" s="865"/>
      <c r="K49" s="865"/>
      <c r="L49" s="865"/>
      <c r="M49" s="865"/>
      <c r="N49" s="865"/>
    </row>
    <row r="50" spans="1:14" x14ac:dyDescent="0.25">
      <c r="A50" s="865"/>
      <c r="B50" s="865"/>
      <c r="C50" s="865"/>
      <c r="D50" s="865"/>
      <c r="E50" s="865"/>
      <c r="F50" s="865"/>
      <c r="G50" s="865"/>
      <c r="H50" s="865"/>
      <c r="I50" s="865"/>
      <c r="J50" s="865"/>
      <c r="K50" s="865"/>
      <c r="L50" s="865"/>
      <c r="M50" s="865"/>
      <c r="N50" s="865"/>
    </row>
    <row r="51" spans="1:14" x14ac:dyDescent="0.25">
      <c r="A51" s="865"/>
      <c r="B51" s="865"/>
      <c r="C51" s="865"/>
      <c r="D51" s="865"/>
      <c r="E51" s="865"/>
      <c r="F51" s="865"/>
      <c r="G51" s="865"/>
      <c r="H51" s="865"/>
      <c r="I51" s="865"/>
      <c r="J51" s="865"/>
      <c r="K51" s="865"/>
      <c r="L51" s="865"/>
      <c r="M51" s="865"/>
      <c r="N51" s="865"/>
    </row>
    <row r="52" spans="1:14" x14ac:dyDescent="0.25">
      <c r="A52" s="865"/>
      <c r="B52" s="865"/>
      <c r="C52" s="865"/>
      <c r="D52" s="865"/>
      <c r="E52" s="865"/>
      <c r="F52" s="865"/>
      <c r="G52" s="865"/>
      <c r="H52" s="865"/>
      <c r="I52" s="865"/>
      <c r="J52" s="865"/>
      <c r="K52" s="865"/>
      <c r="L52" s="865"/>
      <c r="M52" s="865"/>
      <c r="N52" s="865"/>
    </row>
    <row r="53" spans="1:14" x14ac:dyDescent="0.25">
      <c r="A53" s="865"/>
      <c r="B53" s="865"/>
      <c r="C53" s="865"/>
      <c r="D53" s="865"/>
      <c r="E53" s="865"/>
      <c r="F53" s="865"/>
      <c r="G53" s="865"/>
      <c r="H53" s="865"/>
      <c r="I53" s="865"/>
      <c r="J53" s="865"/>
      <c r="K53" s="865"/>
      <c r="L53" s="865"/>
      <c r="M53" s="865"/>
      <c r="N53" s="865"/>
    </row>
    <row r="54" spans="1:14" x14ac:dyDescent="0.25">
      <c r="A54" s="865"/>
      <c r="B54" s="865"/>
      <c r="C54" s="865"/>
      <c r="D54" s="865"/>
      <c r="E54" s="865"/>
      <c r="F54" s="865"/>
      <c r="G54" s="865"/>
      <c r="H54" s="865"/>
      <c r="I54" s="865"/>
      <c r="J54" s="865"/>
      <c r="K54" s="865"/>
      <c r="L54" s="865"/>
      <c r="M54" s="865"/>
      <c r="N54" s="865"/>
    </row>
    <row r="55" spans="1:14" x14ac:dyDescent="0.25">
      <c r="A55" s="865"/>
      <c r="B55" s="865"/>
      <c r="C55" s="865"/>
      <c r="D55" s="865"/>
      <c r="E55" s="865"/>
      <c r="F55" s="865"/>
      <c r="G55" s="865"/>
      <c r="H55" s="865"/>
      <c r="I55" s="865"/>
      <c r="J55" s="865"/>
      <c r="K55" s="865"/>
      <c r="L55" s="865"/>
      <c r="M55" s="865"/>
      <c r="N55" s="865"/>
    </row>
    <row r="56" spans="1:14" x14ac:dyDescent="0.25">
      <c r="A56" s="865"/>
      <c r="B56" s="865"/>
      <c r="C56" s="865"/>
      <c r="D56" s="865"/>
      <c r="E56" s="865"/>
      <c r="F56" s="865"/>
      <c r="G56" s="865"/>
      <c r="H56" s="865"/>
      <c r="I56" s="865"/>
      <c r="J56" s="865"/>
      <c r="K56" s="865"/>
      <c r="L56" s="865"/>
      <c r="M56" s="865"/>
      <c r="N56" s="865"/>
    </row>
    <row r="57" spans="1:14" x14ac:dyDescent="0.25">
      <c r="A57" s="865"/>
      <c r="B57" s="865"/>
      <c r="C57" s="865"/>
      <c r="D57" s="865"/>
      <c r="E57" s="865"/>
      <c r="F57" s="865"/>
      <c r="G57" s="865"/>
      <c r="H57" s="865"/>
      <c r="I57" s="865"/>
      <c r="J57" s="865"/>
      <c r="K57" s="865"/>
      <c r="L57" s="865"/>
      <c r="M57" s="865"/>
      <c r="N57" s="865"/>
    </row>
    <row r="58" spans="1:14" x14ac:dyDescent="0.25">
      <c r="A58" s="865"/>
      <c r="B58" s="865"/>
      <c r="C58" s="865"/>
      <c r="D58" s="865"/>
      <c r="E58" s="865"/>
      <c r="F58" s="865"/>
      <c r="G58" s="865"/>
      <c r="H58" s="865"/>
      <c r="I58" s="865"/>
      <c r="J58" s="865"/>
      <c r="K58" s="865"/>
      <c r="L58" s="865"/>
      <c r="M58" s="865"/>
      <c r="N58" s="865"/>
    </row>
    <row r="59" spans="1:14" x14ac:dyDescent="0.25">
      <c r="A59" s="865"/>
      <c r="B59" s="865"/>
      <c r="C59" s="865"/>
      <c r="D59" s="865"/>
      <c r="E59" s="865"/>
      <c r="F59" s="865"/>
      <c r="G59" s="865"/>
      <c r="H59" s="865"/>
      <c r="I59" s="865"/>
      <c r="J59" s="865"/>
      <c r="K59" s="865"/>
      <c r="L59" s="865"/>
      <c r="M59" s="865"/>
      <c r="N59" s="865"/>
    </row>
    <row r="60" spans="1:14" x14ac:dyDescent="0.25">
      <c r="A60" s="865"/>
      <c r="B60" s="865"/>
      <c r="C60" s="865"/>
      <c r="D60" s="865"/>
      <c r="E60" s="865"/>
      <c r="F60" s="865"/>
      <c r="G60" s="865"/>
      <c r="H60" s="865"/>
      <c r="I60" s="865"/>
      <c r="J60" s="865"/>
      <c r="K60" s="865"/>
      <c r="L60" s="865"/>
      <c r="M60" s="865"/>
      <c r="N60" s="865"/>
    </row>
    <row r="61" spans="1:14" x14ac:dyDescent="0.25">
      <c r="A61" s="865"/>
      <c r="B61" s="865"/>
      <c r="C61" s="865"/>
      <c r="D61" s="865"/>
      <c r="E61" s="865"/>
      <c r="F61" s="865"/>
      <c r="G61" s="865"/>
      <c r="H61" s="865"/>
      <c r="I61" s="865"/>
      <c r="J61" s="865"/>
      <c r="K61" s="865"/>
      <c r="L61" s="865"/>
      <c r="M61" s="865"/>
      <c r="N61" s="865"/>
    </row>
    <row r="62" spans="1:14" x14ac:dyDescent="0.25">
      <c r="A62" s="865"/>
      <c r="B62" s="865"/>
      <c r="C62" s="865"/>
      <c r="D62" s="865"/>
      <c r="E62" s="865"/>
      <c r="F62" s="865"/>
      <c r="G62" s="865"/>
      <c r="H62" s="865"/>
      <c r="I62" s="865"/>
      <c r="J62" s="865"/>
      <c r="K62" s="865"/>
      <c r="L62" s="865"/>
      <c r="M62" s="865"/>
      <c r="N62" s="865"/>
    </row>
    <row r="63" spans="1:14" x14ac:dyDescent="0.25">
      <c r="A63" s="865"/>
      <c r="B63" s="865"/>
      <c r="C63" s="865"/>
      <c r="D63" s="865"/>
      <c r="E63" s="865"/>
      <c r="F63" s="865"/>
      <c r="G63" s="865"/>
      <c r="H63" s="865"/>
      <c r="I63" s="865"/>
      <c r="J63" s="865"/>
      <c r="K63" s="865"/>
      <c r="L63" s="865"/>
      <c r="M63" s="865"/>
      <c r="N63" s="865"/>
    </row>
    <row r="64" spans="1:14" x14ac:dyDescent="0.25">
      <c r="A64" s="865"/>
      <c r="B64" s="865"/>
      <c r="C64" s="865"/>
      <c r="D64" s="865"/>
      <c r="E64" s="865"/>
      <c r="F64" s="865"/>
      <c r="G64" s="865"/>
      <c r="H64" s="865"/>
      <c r="I64" s="865"/>
      <c r="J64" s="865"/>
      <c r="K64" s="865"/>
      <c r="L64" s="865"/>
      <c r="M64" s="865"/>
      <c r="N64" s="865"/>
    </row>
    <row r="65" spans="1:14" x14ac:dyDescent="0.25">
      <c r="A65" s="865"/>
      <c r="B65" s="865"/>
      <c r="C65" s="865"/>
      <c r="D65" s="865"/>
      <c r="E65" s="865"/>
      <c r="F65" s="865"/>
      <c r="G65" s="865"/>
      <c r="H65" s="865"/>
      <c r="I65" s="865"/>
      <c r="J65" s="865"/>
      <c r="K65" s="865"/>
      <c r="L65" s="865"/>
      <c r="M65" s="865"/>
      <c r="N65" s="865"/>
    </row>
    <row r="66" spans="1:14" x14ac:dyDescent="0.25">
      <c r="A66" s="865"/>
      <c r="B66" s="865"/>
      <c r="C66" s="865"/>
      <c r="D66" s="865"/>
      <c r="E66" s="865"/>
      <c r="F66" s="865"/>
      <c r="G66" s="865"/>
      <c r="H66" s="865"/>
      <c r="I66" s="865"/>
      <c r="J66" s="865"/>
      <c r="K66" s="865"/>
      <c r="L66" s="865"/>
      <c r="M66" s="865"/>
      <c r="N66" s="865"/>
    </row>
    <row r="67" spans="1:14" x14ac:dyDescent="0.25">
      <c r="A67" s="865"/>
      <c r="B67" s="865"/>
      <c r="C67" s="865"/>
      <c r="D67" s="865"/>
      <c r="E67" s="865"/>
      <c r="F67" s="865"/>
      <c r="G67" s="865"/>
      <c r="H67" s="865"/>
      <c r="I67" s="865"/>
      <c r="J67" s="865"/>
      <c r="K67" s="865"/>
      <c r="L67" s="865"/>
      <c r="M67" s="865"/>
      <c r="N67" s="865"/>
    </row>
    <row r="68" spans="1:14" x14ac:dyDescent="0.25">
      <c r="A68" s="865"/>
      <c r="B68" s="865"/>
      <c r="C68" s="865"/>
      <c r="D68" s="865"/>
      <c r="E68" s="865"/>
      <c r="F68" s="865"/>
      <c r="G68" s="865"/>
      <c r="H68" s="865"/>
      <c r="I68" s="865"/>
      <c r="J68" s="865"/>
      <c r="K68" s="865"/>
      <c r="L68" s="865"/>
      <c r="M68" s="865"/>
      <c r="N68" s="865"/>
    </row>
    <row r="69" spans="1:14" x14ac:dyDescent="0.25">
      <c r="A69" s="865"/>
      <c r="B69" s="865"/>
      <c r="C69" s="865"/>
      <c r="D69" s="865"/>
      <c r="E69" s="865"/>
      <c r="F69" s="865"/>
      <c r="G69" s="865"/>
      <c r="H69" s="865"/>
      <c r="I69" s="865"/>
      <c r="J69" s="865"/>
      <c r="K69" s="865"/>
      <c r="L69" s="865"/>
      <c r="M69" s="865"/>
      <c r="N69" s="865"/>
    </row>
    <row r="70" spans="1:14" x14ac:dyDescent="0.25">
      <c r="A70" s="865"/>
      <c r="B70" s="865"/>
      <c r="C70" s="865"/>
      <c r="D70" s="865"/>
      <c r="E70" s="865"/>
      <c r="F70" s="865"/>
      <c r="G70" s="865"/>
      <c r="H70" s="865"/>
      <c r="I70" s="865"/>
      <c r="J70" s="865"/>
      <c r="K70" s="865"/>
      <c r="L70" s="865"/>
      <c r="M70" s="865"/>
      <c r="N70" s="865"/>
    </row>
    <row r="71" spans="1:14" x14ac:dyDescent="0.25">
      <c r="A71" s="865"/>
      <c r="B71" s="865"/>
      <c r="C71" s="865"/>
      <c r="D71" s="865"/>
      <c r="E71" s="865"/>
      <c r="F71" s="865"/>
      <c r="G71" s="865"/>
      <c r="H71" s="865"/>
      <c r="I71" s="865"/>
      <c r="J71" s="865"/>
      <c r="K71" s="865"/>
      <c r="L71" s="865"/>
      <c r="M71" s="865"/>
      <c r="N71" s="865"/>
    </row>
    <row r="72" spans="1:14" x14ac:dyDescent="0.25">
      <c r="A72" s="865"/>
      <c r="B72" s="865"/>
      <c r="C72" s="865"/>
      <c r="D72" s="865"/>
      <c r="E72" s="865"/>
      <c r="F72" s="865"/>
      <c r="G72" s="865"/>
      <c r="H72" s="865"/>
      <c r="I72" s="865"/>
      <c r="J72" s="865"/>
      <c r="K72" s="865"/>
      <c r="L72" s="865"/>
      <c r="M72" s="865"/>
      <c r="N72" s="865"/>
    </row>
    <row r="73" spans="1:14" x14ac:dyDescent="0.25">
      <c r="A73" s="865"/>
      <c r="B73" s="865"/>
      <c r="C73" s="865"/>
      <c r="D73" s="865"/>
      <c r="E73" s="865"/>
      <c r="F73" s="865"/>
      <c r="G73" s="865"/>
      <c r="H73" s="865"/>
      <c r="I73" s="865"/>
      <c r="J73" s="865"/>
      <c r="K73" s="865"/>
      <c r="L73" s="865"/>
      <c r="M73" s="865"/>
      <c r="N73" s="865"/>
    </row>
    <row r="74" spans="1:14" x14ac:dyDescent="0.25">
      <c r="A74" s="865"/>
      <c r="B74" s="865"/>
      <c r="C74" s="865"/>
      <c r="D74" s="865"/>
      <c r="E74" s="865"/>
      <c r="F74" s="865"/>
      <c r="G74" s="865"/>
      <c r="H74" s="865"/>
      <c r="I74" s="865"/>
      <c r="J74" s="865"/>
      <c r="K74" s="865"/>
      <c r="L74" s="865"/>
      <c r="M74" s="865"/>
      <c r="N74" s="865"/>
    </row>
    <row r="75" spans="1:14" x14ac:dyDescent="0.25">
      <c r="A75" s="865"/>
      <c r="B75" s="865"/>
      <c r="C75" s="865"/>
      <c r="D75" s="865"/>
      <c r="E75" s="865"/>
      <c r="F75" s="865"/>
      <c r="G75" s="865"/>
      <c r="H75" s="865"/>
      <c r="I75" s="865"/>
      <c r="J75" s="865"/>
      <c r="K75" s="865"/>
      <c r="L75" s="865"/>
      <c r="M75" s="865"/>
      <c r="N75" s="865"/>
    </row>
    <row r="76" spans="1:14" x14ac:dyDescent="0.25">
      <c r="A76" s="865"/>
      <c r="B76" s="865"/>
      <c r="C76" s="865"/>
      <c r="D76" s="865"/>
      <c r="E76" s="865"/>
      <c r="F76" s="865"/>
      <c r="G76" s="865"/>
      <c r="H76" s="865"/>
      <c r="I76" s="865"/>
      <c r="J76" s="865"/>
      <c r="K76" s="865"/>
      <c r="L76" s="865"/>
      <c r="M76" s="865"/>
      <c r="N76" s="865"/>
    </row>
    <row r="77" spans="1:14" x14ac:dyDescent="0.25">
      <c r="A77" s="865"/>
      <c r="B77" s="865"/>
      <c r="C77" s="865"/>
      <c r="D77" s="865"/>
      <c r="E77" s="865"/>
      <c r="F77" s="865"/>
      <c r="G77" s="865"/>
      <c r="H77" s="865"/>
      <c r="I77" s="865"/>
      <c r="J77" s="865"/>
      <c r="K77" s="865"/>
      <c r="L77" s="865"/>
      <c r="M77" s="865"/>
      <c r="N77" s="865"/>
    </row>
    <row r="78" spans="1:14" x14ac:dyDescent="0.25">
      <c r="A78" s="865"/>
      <c r="B78" s="865"/>
      <c r="C78" s="865"/>
      <c r="D78" s="865"/>
      <c r="E78" s="865"/>
      <c r="F78" s="865"/>
      <c r="G78" s="865"/>
      <c r="H78" s="865"/>
      <c r="I78" s="865"/>
      <c r="J78" s="865"/>
      <c r="K78" s="865"/>
      <c r="L78" s="865"/>
      <c r="M78" s="865"/>
      <c r="N78" s="865"/>
    </row>
    <row r="79" spans="1:14" x14ac:dyDescent="0.25">
      <c r="A79" s="865"/>
      <c r="B79" s="865"/>
      <c r="C79" s="865"/>
      <c r="D79" s="865"/>
      <c r="E79" s="865"/>
      <c r="F79" s="865"/>
      <c r="G79" s="865"/>
      <c r="H79" s="865"/>
      <c r="I79" s="865"/>
      <c r="J79" s="865"/>
      <c r="K79" s="865"/>
      <c r="L79" s="865"/>
      <c r="M79" s="865"/>
      <c r="N79" s="865"/>
    </row>
    <row r="80" spans="1:14" x14ac:dyDescent="0.25">
      <c r="A80" s="865"/>
      <c r="B80" s="865"/>
      <c r="C80" s="865"/>
      <c r="D80" s="865"/>
      <c r="E80" s="865"/>
      <c r="F80" s="865"/>
      <c r="G80" s="865"/>
      <c r="H80" s="865"/>
      <c r="I80" s="865"/>
      <c r="J80" s="865"/>
      <c r="K80" s="865"/>
      <c r="L80" s="865"/>
      <c r="M80" s="865"/>
      <c r="N80" s="865"/>
    </row>
    <row r="81" spans="1:14" x14ac:dyDescent="0.25">
      <c r="A81" s="865"/>
      <c r="B81" s="865"/>
      <c r="C81" s="865"/>
      <c r="D81" s="865"/>
      <c r="E81" s="865"/>
      <c r="F81" s="865"/>
      <c r="G81" s="865"/>
      <c r="H81" s="865"/>
      <c r="I81" s="865"/>
      <c r="J81" s="865"/>
      <c r="K81" s="865"/>
      <c r="L81" s="865"/>
      <c r="M81" s="865"/>
      <c r="N81" s="865"/>
    </row>
    <row r="82" spans="1:14" x14ac:dyDescent="0.25">
      <c r="A82" s="865"/>
      <c r="B82" s="865"/>
      <c r="C82" s="865"/>
      <c r="D82" s="865"/>
      <c r="E82" s="865"/>
      <c r="F82" s="865"/>
      <c r="G82" s="865"/>
      <c r="H82" s="865"/>
      <c r="I82" s="865"/>
      <c r="J82" s="865"/>
      <c r="K82" s="865"/>
      <c r="L82" s="865"/>
      <c r="M82" s="865"/>
      <c r="N82" s="865"/>
    </row>
    <row r="83" spans="1:14" x14ac:dyDescent="0.25">
      <c r="A83" s="865"/>
      <c r="B83" s="865"/>
      <c r="C83" s="865"/>
      <c r="D83" s="865"/>
      <c r="E83" s="865"/>
      <c r="F83" s="865"/>
      <c r="G83" s="865"/>
      <c r="H83" s="865"/>
      <c r="I83" s="865"/>
      <c r="J83" s="865"/>
      <c r="K83" s="865"/>
      <c r="L83" s="865"/>
      <c r="M83" s="865"/>
      <c r="N83" s="865"/>
    </row>
    <row r="84" spans="1:14" x14ac:dyDescent="0.25">
      <c r="A84" s="865"/>
      <c r="B84" s="865"/>
      <c r="C84" s="865"/>
      <c r="D84" s="865"/>
      <c r="E84" s="865"/>
      <c r="F84" s="865"/>
      <c r="G84" s="865"/>
      <c r="H84" s="865"/>
      <c r="I84" s="865"/>
      <c r="J84" s="865"/>
      <c r="K84" s="865"/>
      <c r="L84" s="865"/>
      <c r="M84" s="865"/>
      <c r="N84" s="865"/>
    </row>
    <row r="85" spans="1:14" x14ac:dyDescent="0.25">
      <c r="A85" s="865"/>
      <c r="B85" s="865"/>
      <c r="C85" s="865"/>
      <c r="D85" s="865"/>
      <c r="E85" s="865"/>
      <c r="F85" s="865"/>
      <c r="G85" s="865"/>
      <c r="H85" s="865"/>
      <c r="I85" s="865"/>
      <c r="J85" s="865"/>
      <c r="K85" s="865"/>
      <c r="L85" s="865"/>
      <c r="M85" s="865"/>
      <c r="N85" s="865"/>
    </row>
    <row r="86" spans="1:14" x14ac:dyDescent="0.25">
      <c r="A86" s="865"/>
      <c r="B86" s="865"/>
      <c r="C86" s="865"/>
      <c r="D86" s="865"/>
      <c r="E86" s="865"/>
      <c r="F86" s="865"/>
      <c r="G86" s="865"/>
      <c r="H86" s="865"/>
      <c r="I86" s="865"/>
      <c r="J86" s="865"/>
      <c r="K86" s="865"/>
      <c r="L86" s="865"/>
      <c r="M86" s="865"/>
      <c r="N86" s="865"/>
    </row>
    <row r="87" spans="1:14" x14ac:dyDescent="0.25">
      <c r="A87" s="865"/>
      <c r="B87" s="865"/>
      <c r="C87" s="865"/>
      <c r="D87" s="865"/>
      <c r="E87" s="865"/>
      <c r="F87" s="865"/>
      <c r="G87" s="865"/>
      <c r="H87" s="865"/>
      <c r="I87" s="865"/>
      <c r="J87" s="865"/>
      <c r="K87" s="865"/>
      <c r="L87" s="865"/>
      <c r="M87" s="865"/>
      <c r="N87" s="865"/>
    </row>
    <row r="88" spans="1:14" x14ac:dyDescent="0.25">
      <c r="A88" s="865"/>
      <c r="B88" s="865"/>
      <c r="C88" s="865"/>
      <c r="D88" s="865"/>
      <c r="E88" s="865"/>
      <c r="F88" s="865"/>
      <c r="G88" s="865"/>
      <c r="H88" s="865"/>
      <c r="I88" s="865"/>
      <c r="J88" s="865"/>
      <c r="K88" s="865"/>
      <c r="L88" s="865"/>
      <c r="M88" s="865"/>
      <c r="N88" s="865"/>
    </row>
    <row r="89" spans="1:14" x14ac:dyDescent="0.25">
      <c r="A89" s="865"/>
      <c r="B89" s="865"/>
      <c r="C89" s="865"/>
      <c r="D89" s="865"/>
      <c r="E89" s="865"/>
      <c r="F89" s="865"/>
      <c r="G89" s="865"/>
      <c r="H89" s="865"/>
      <c r="I89" s="865"/>
      <c r="J89" s="865"/>
      <c r="K89" s="865"/>
      <c r="L89" s="865"/>
      <c r="M89" s="865"/>
      <c r="N89" s="865"/>
    </row>
    <row r="90" spans="1:14" x14ac:dyDescent="0.25">
      <c r="A90" s="865"/>
      <c r="B90" s="865"/>
      <c r="C90" s="865"/>
      <c r="D90" s="865"/>
      <c r="E90" s="865"/>
      <c r="F90" s="865"/>
      <c r="G90" s="865"/>
      <c r="H90" s="865"/>
      <c r="I90" s="865"/>
      <c r="J90" s="865"/>
      <c r="K90" s="865"/>
      <c r="L90" s="865"/>
      <c r="M90" s="865"/>
      <c r="N90" s="865"/>
    </row>
    <row r="91" spans="1:14" x14ac:dyDescent="0.25">
      <c r="A91" s="865"/>
      <c r="B91" s="865"/>
      <c r="C91" s="865"/>
      <c r="D91" s="865"/>
      <c r="E91" s="865"/>
      <c r="F91" s="865"/>
      <c r="G91" s="865"/>
      <c r="H91" s="865"/>
      <c r="I91" s="865"/>
      <c r="J91" s="865"/>
      <c r="K91" s="865"/>
      <c r="L91" s="865"/>
      <c r="M91" s="865"/>
      <c r="N91" s="865"/>
    </row>
    <row r="92" spans="1:14" x14ac:dyDescent="0.25">
      <c r="A92" s="865"/>
      <c r="B92" s="865"/>
      <c r="C92" s="865"/>
      <c r="D92" s="865"/>
      <c r="E92" s="865"/>
      <c r="F92" s="865"/>
      <c r="G92" s="865"/>
      <c r="H92" s="865"/>
      <c r="I92" s="865"/>
      <c r="J92" s="865"/>
      <c r="K92" s="865"/>
      <c r="L92" s="865"/>
      <c r="M92" s="865"/>
      <c r="N92" s="865"/>
    </row>
    <row r="93" spans="1:14" x14ac:dyDescent="0.25">
      <c r="A93" s="865"/>
      <c r="B93" s="865"/>
      <c r="C93" s="865"/>
      <c r="D93" s="865"/>
      <c r="E93" s="865"/>
      <c r="F93" s="865"/>
      <c r="G93" s="865"/>
      <c r="H93" s="865"/>
      <c r="I93" s="865"/>
      <c r="J93" s="865"/>
      <c r="K93" s="865"/>
      <c r="L93" s="865"/>
      <c r="M93" s="865"/>
      <c r="N93" s="865"/>
    </row>
    <row r="94" spans="1:14" x14ac:dyDescent="0.25">
      <c r="A94" s="865"/>
      <c r="B94" s="865"/>
      <c r="C94" s="865"/>
      <c r="D94" s="865"/>
      <c r="E94" s="865"/>
      <c r="F94" s="865"/>
      <c r="G94" s="865"/>
      <c r="H94" s="865"/>
      <c r="I94" s="865"/>
      <c r="J94" s="865"/>
      <c r="K94" s="865"/>
      <c r="L94" s="865"/>
      <c r="M94" s="865"/>
      <c r="N94" s="865"/>
    </row>
    <row r="95" spans="1:14" x14ac:dyDescent="0.25">
      <c r="A95" s="865"/>
      <c r="B95" s="865"/>
      <c r="C95" s="865"/>
      <c r="D95" s="865"/>
      <c r="E95" s="865"/>
      <c r="F95" s="865"/>
      <c r="G95" s="865"/>
      <c r="H95" s="865"/>
      <c r="I95" s="865"/>
      <c r="J95" s="865"/>
      <c r="K95" s="865"/>
      <c r="L95" s="865"/>
      <c r="M95" s="865"/>
      <c r="N95" s="865"/>
    </row>
    <row r="96" spans="1:14" x14ac:dyDescent="0.25">
      <c r="A96" s="865"/>
      <c r="B96" s="865"/>
      <c r="C96" s="865"/>
      <c r="D96" s="865"/>
      <c r="E96" s="865"/>
      <c r="F96" s="865"/>
      <c r="G96" s="865"/>
      <c r="H96" s="865"/>
      <c r="I96" s="865"/>
      <c r="J96" s="865"/>
      <c r="K96" s="865"/>
      <c r="L96" s="865"/>
      <c r="M96" s="865"/>
      <c r="N96" s="865"/>
    </row>
    <row r="97" spans="1:14" x14ac:dyDescent="0.25">
      <c r="A97" s="865"/>
      <c r="B97" s="865"/>
      <c r="C97" s="865"/>
      <c r="D97" s="865"/>
      <c r="E97" s="865"/>
      <c r="F97" s="865"/>
      <c r="G97" s="865"/>
      <c r="H97" s="865"/>
      <c r="I97" s="865"/>
      <c r="J97" s="865"/>
      <c r="K97" s="865"/>
      <c r="L97" s="865"/>
      <c r="M97" s="865"/>
      <c r="N97" s="865"/>
    </row>
    <row r="98" spans="1:14" x14ac:dyDescent="0.25">
      <c r="A98" s="865"/>
      <c r="B98" s="865"/>
      <c r="C98" s="865"/>
      <c r="D98" s="865"/>
      <c r="E98" s="865"/>
      <c r="F98" s="865"/>
      <c r="G98" s="865"/>
      <c r="H98" s="865"/>
      <c r="I98" s="865"/>
      <c r="J98" s="865"/>
      <c r="K98" s="865"/>
      <c r="L98" s="865"/>
      <c r="M98" s="865"/>
      <c r="N98" s="865"/>
    </row>
    <row r="99" spans="1:14" x14ac:dyDescent="0.25">
      <c r="A99" s="865"/>
      <c r="B99" s="865"/>
      <c r="C99" s="865"/>
      <c r="D99" s="865"/>
      <c r="E99" s="865"/>
      <c r="F99" s="865"/>
      <c r="G99" s="865"/>
      <c r="H99" s="865"/>
      <c r="I99" s="865"/>
      <c r="J99" s="865"/>
      <c r="K99" s="865"/>
      <c r="L99" s="865"/>
      <c r="M99" s="865"/>
      <c r="N99" s="865"/>
    </row>
    <row r="100" spans="1:14" x14ac:dyDescent="0.25">
      <c r="A100" s="865"/>
      <c r="B100" s="865"/>
      <c r="C100" s="865"/>
      <c r="D100" s="865"/>
      <c r="E100" s="865"/>
      <c r="F100" s="865"/>
      <c r="G100" s="865"/>
      <c r="H100" s="865"/>
      <c r="I100" s="865"/>
      <c r="J100" s="865"/>
      <c r="K100" s="865"/>
      <c r="L100" s="865"/>
      <c r="M100" s="865"/>
      <c r="N100" s="865"/>
    </row>
    <row r="101" spans="1:14" x14ac:dyDescent="0.25">
      <c r="A101" s="865"/>
      <c r="B101" s="865"/>
      <c r="C101" s="865"/>
      <c r="D101" s="865"/>
      <c r="E101" s="865"/>
      <c r="F101" s="865"/>
      <c r="G101" s="865"/>
      <c r="H101" s="865"/>
      <c r="I101" s="865"/>
      <c r="J101" s="865"/>
      <c r="K101" s="865"/>
      <c r="L101" s="865"/>
      <c r="M101" s="865"/>
      <c r="N101" s="865"/>
    </row>
    <row r="102" spans="1:14" x14ac:dyDescent="0.25">
      <c r="A102" s="865"/>
      <c r="B102" s="865"/>
      <c r="C102" s="865"/>
      <c r="D102" s="865"/>
      <c r="E102" s="865"/>
      <c r="F102" s="865"/>
      <c r="G102" s="865"/>
      <c r="H102" s="865"/>
      <c r="I102" s="865"/>
      <c r="J102" s="865"/>
      <c r="K102" s="865"/>
      <c r="L102" s="865"/>
      <c r="M102" s="865"/>
      <c r="N102" s="865"/>
    </row>
    <row r="103" spans="1:14" x14ac:dyDescent="0.25">
      <c r="A103" s="865"/>
      <c r="B103" s="865"/>
      <c r="C103" s="865"/>
      <c r="D103" s="865"/>
      <c r="E103" s="865"/>
      <c r="F103" s="865"/>
      <c r="G103" s="865"/>
      <c r="H103" s="865"/>
      <c r="I103" s="865"/>
      <c r="J103" s="865"/>
      <c r="K103" s="865"/>
      <c r="L103" s="865"/>
      <c r="M103" s="865"/>
      <c r="N103" s="865"/>
    </row>
    <row r="104" spans="1:14" x14ac:dyDescent="0.25">
      <c r="A104" s="865"/>
      <c r="B104" s="865"/>
      <c r="C104" s="865"/>
      <c r="D104" s="865"/>
      <c r="E104" s="865"/>
      <c r="F104" s="865"/>
      <c r="G104" s="865"/>
      <c r="H104" s="865"/>
      <c r="I104" s="865"/>
      <c r="J104" s="865"/>
      <c r="K104" s="865"/>
      <c r="L104" s="865"/>
      <c r="M104" s="865"/>
      <c r="N104" s="865"/>
    </row>
    <row r="105" spans="1:14" x14ac:dyDescent="0.25">
      <c r="A105" s="865"/>
      <c r="B105" s="865"/>
      <c r="C105" s="865"/>
      <c r="D105" s="865"/>
      <c r="E105" s="865"/>
      <c r="F105" s="865"/>
      <c r="G105" s="865"/>
      <c r="H105" s="865"/>
      <c r="I105" s="865"/>
      <c r="J105" s="865"/>
      <c r="K105" s="865"/>
      <c r="L105" s="865"/>
      <c r="M105" s="865"/>
      <c r="N105" s="865"/>
    </row>
    <row r="106" spans="1:14" x14ac:dyDescent="0.25">
      <c r="A106" s="865"/>
      <c r="B106" s="865"/>
      <c r="C106" s="865"/>
      <c r="D106" s="865"/>
      <c r="E106" s="865"/>
      <c r="F106" s="865"/>
      <c r="G106" s="865"/>
      <c r="H106" s="865"/>
      <c r="I106" s="865"/>
      <c r="J106" s="865"/>
      <c r="K106" s="865"/>
      <c r="L106" s="865"/>
      <c r="M106" s="865"/>
      <c r="N106" s="865"/>
    </row>
    <row r="107" spans="1:14" x14ac:dyDescent="0.25">
      <c r="A107" s="865"/>
      <c r="B107" s="865"/>
      <c r="C107" s="865"/>
      <c r="D107" s="865"/>
      <c r="E107" s="865"/>
      <c r="F107" s="865"/>
      <c r="G107" s="865"/>
      <c r="H107" s="865"/>
      <c r="I107" s="865"/>
      <c r="J107" s="865"/>
      <c r="K107" s="865"/>
      <c r="L107" s="865"/>
      <c r="M107" s="865"/>
      <c r="N107" s="865"/>
    </row>
    <row r="108" spans="1:14" x14ac:dyDescent="0.25">
      <c r="A108" s="865"/>
      <c r="B108" s="865"/>
      <c r="C108" s="865"/>
      <c r="D108" s="865"/>
      <c r="E108" s="865"/>
      <c r="F108" s="865"/>
      <c r="G108" s="865"/>
      <c r="H108" s="865"/>
      <c r="I108" s="865"/>
      <c r="J108" s="865"/>
      <c r="K108" s="865"/>
      <c r="L108" s="865"/>
      <c r="M108" s="865"/>
      <c r="N108" s="865"/>
    </row>
    <row r="109" spans="1:14" x14ac:dyDescent="0.25">
      <c r="A109" s="865"/>
      <c r="B109" s="865"/>
      <c r="C109" s="865"/>
      <c r="D109" s="865"/>
      <c r="E109" s="865"/>
      <c r="F109" s="865"/>
      <c r="G109" s="865"/>
      <c r="H109" s="865"/>
      <c r="I109" s="865"/>
      <c r="J109" s="865"/>
      <c r="K109" s="865"/>
      <c r="L109" s="865"/>
      <c r="M109" s="865"/>
      <c r="N109" s="865"/>
    </row>
    <row r="110" spans="1:14" x14ac:dyDescent="0.25">
      <c r="A110" s="865"/>
      <c r="B110" s="865"/>
      <c r="C110" s="865"/>
      <c r="D110" s="865"/>
      <c r="E110" s="865"/>
      <c r="F110" s="865"/>
      <c r="G110" s="865"/>
      <c r="H110" s="865"/>
      <c r="I110" s="865"/>
      <c r="J110" s="865"/>
      <c r="K110" s="865"/>
      <c r="L110" s="865"/>
      <c r="M110" s="865"/>
      <c r="N110" s="865"/>
    </row>
    <row r="111" spans="1:14" x14ac:dyDescent="0.25">
      <c r="A111" s="865"/>
      <c r="B111" s="865"/>
      <c r="C111" s="865"/>
      <c r="D111" s="865"/>
      <c r="E111" s="865"/>
      <c r="F111" s="865"/>
      <c r="G111" s="865"/>
      <c r="H111" s="865"/>
      <c r="I111" s="865"/>
      <c r="J111" s="865"/>
      <c r="K111" s="865"/>
      <c r="L111" s="865"/>
      <c r="M111" s="865"/>
      <c r="N111" s="865"/>
    </row>
    <row r="112" spans="1:14" x14ac:dyDescent="0.25">
      <c r="A112" s="865"/>
      <c r="B112" s="865"/>
      <c r="C112" s="865"/>
      <c r="D112" s="865"/>
      <c r="E112" s="865"/>
      <c r="F112" s="865"/>
      <c r="G112" s="865"/>
      <c r="H112" s="865"/>
      <c r="I112" s="865"/>
      <c r="J112" s="865"/>
      <c r="K112" s="865"/>
      <c r="L112" s="865"/>
      <c r="M112" s="865"/>
      <c r="N112" s="865"/>
    </row>
    <row r="113" spans="1:14" x14ac:dyDescent="0.25">
      <c r="A113" s="865"/>
      <c r="B113" s="865"/>
      <c r="C113" s="865"/>
      <c r="D113" s="865"/>
      <c r="E113" s="865"/>
      <c r="F113" s="865"/>
      <c r="G113" s="865"/>
      <c r="H113" s="865"/>
      <c r="I113" s="865"/>
      <c r="J113" s="865"/>
      <c r="K113" s="865"/>
      <c r="L113" s="865"/>
      <c r="M113" s="865"/>
      <c r="N113" s="865"/>
    </row>
    <row r="114" spans="1:14" x14ac:dyDescent="0.25">
      <c r="A114" s="865"/>
      <c r="B114" s="865"/>
      <c r="C114" s="865"/>
      <c r="D114" s="865"/>
      <c r="E114" s="865"/>
      <c r="F114" s="865"/>
      <c r="G114" s="865"/>
      <c r="H114" s="865"/>
      <c r="I114" s="865"/>
      <c r="J114" s="865"/>
      <c r="K114" s="865"/>
      <c r="L114" s="865"/>
      <c r="M114" s="865"/>
      <c r="N114" s="865"/>
    </row>
    <row r="115" spans="1:14" x14ac:dyDescent="0.25">
      <c r="A115" s="865"/>
      <c r="B115" s="865"/>
      <c r="C115" s="865"/>
      <c r="D115" s="865"/>
      <c r="E115" s="865"/>
      <c r="F115" s="865"/>
      <c r="G115" s="865"/>
      <c r="H115" s="865"/>
      <c r="I115" s="865"/>
      <c r="J115" s="865"/>
      <c r="K115" s="865"/>
      <c r="L115" s="865"/>
      <c r="M115" s="865"/>
      <c r="N115" s="865"/>
    </row>
    <row r="116" spans="1:14" x14ac:dyDescent="0.25">
      <c r="A116" s="865"/>
      <c r="B116" s="865"/>
      <c r="C116" s="865"/>
      <c r="D116" s="865"/>
      <c r="E116" s="865"/>
      <c r="F116" s="865"/>
      <c r="G116" s="865"/>
      <c r="H116" s="865"/>
      <c r="I116" s="865"/>
      <c r="J116" s="865"/>
      <c r="K116" s="865"/>
      <c r="L116" s="865"/>
      <c r="M116" s="865"/>
      <c r="N116" s="865"/>
    </row>
    <row r="117" spans="1:14" x14ac:dyDescent="0.25">
      <c r="A117" s="865"/>
      <c r="B117" s="865"/>
      <c r="C117" s="865"/>
      <c r="D117" s="865"/>
      <c r="E117" s="865"/>
      <c r="F117" s="865"/>
      <c r="G117" s="865"/>
      <c r="H117" s="865"/>
      <c r="I117" s="865"/>
      <c r="J117" s="865"/>
      <c r="K117" s="865"/>
      <c r="L117" s="865"/>
      <c r="M117" s="865"/>
      <c r="N117" s="865"/>
    </row>
    <row r="118" spans="1:14" x14ac:dyDescent="0.25">
      <c r="A118" s="865"/>
      <c r="B118" s="865"/>
      <c r="C118" s="865"/>
      <c r="D118" s="865"/>
      <c r="E118" s="865"/>
      <c r="F118" s="865"/>
      <c r="G118" s="865"/>
      <c r="H118" s="865"/>
      <c r="I118" s="865"/>
      <c r="J118" s="865"/>
      <c r="K118" s="865"/>
      <c r="L118" s="865"/>
      <c r="M118" s="865"/>
      <c r="N118" s="865"/>
    </row>
    <row r="119" spans="1:14" x14ac:dyDescent="0.25">
      <c r="A119" s="865"/>
      <c r="B119" s="865"/>
      <c r="C119" s="865"/>
      <c r="D119" s="865"/>
      <c r="E119" s="865"/>
      <c r="F119" s="865"/>
      <c r="G119" s="865"/>
      <c r="H119" s="865"/>
      <c r="I119" s="865"/>
      <c r="J119" s="865"/>
      <c r="K119" s="865"/>
      <c r="L119" s="865"/>
      <c r="M119" s="865"/>
      <c r="N119" s="865"/>
    </row>
    <row r="120" spans="1:14" x14ac:dyDescent="0.25">
      <c r="A120" s="865"/>
      <c r="B120" s="865"/>
      <c r="C120" s="865"/>
      <c r="D120" s="865"/>
      <c r="E120" s="865"/>
      <c r="F120" s="865"/>
      <c r="G120" s="865"/>
      <c r="H120" s="865"/>
      <c r="I120" s="865"/>
      <c r="J120" s="865"/>
      <c r="K120" s="865"/>
      <c r="L120" s="865"/>
      <c r="M120" s="865"/>
      <c r="N120" s="865"/>
    </row>
    <row r="121" spans="1:14" x14ac:dyDescent="0.25">
      <c r="A121" s="865"/>
      <c r="B121" s="865"/>
      <c r="C121" s="865"/>
      <c r="D121" s="865"/>
      <c r="E121" s="865"/>
      <c r="F121" s="865"/>
      <c r="G121" s="865"/>
      <c r="H121" s="865"/>
      <c r="I121" s="865"/>
      <c r="J121" s="865"/>
      <c r="K121" s="865"/>
      <c r="L121" s="865"/>
      <c r="M121" s="865"/>
      <c r="N121" s="865"/>
    </row>
    <row r="122" spans="1:14" x14ac:dyDescent="0.25">
      <c r="A122" s="865"/>
      <c r="B122" s="865"/>
      <c r="C122" s="865"/>
      <c r="D122" s="865"/>
      <c r="E122" s="865"/>
      <c r="F122" s="865"/>
      <c r="G122" s="865"/>
      <c r="H122" s="865"/>
      <c r="I122" s="865"/>
      <c r="J122" s="865"/>
      <c r="K122" s="865"/>
      <c r="L122" s="865"/>
      <c r="M122" s="865"/>
      <c r="N122" s="865"/>
    </row>
    <row r="123" spans="1:14" x14ac:dyDescent="0.25">
      <c r="A123" s="865"/>
      <c r="B123" s="865"/>
      <c r="C123" s="865"/>
      <c r="D123" s="865"/>
      <c r="E123" s="865"/>
      <c r="F123" s="865"/>
      <c r="G123" s="865"/>
      <c r="H123" s="865"/>
      <c r="I123" s="865"/>
      <c r="J123" s="865"/>
      <c r="K123" s="865"/>
      <c r="L123" s="865"/>
      <c r="M123" s="865"/>
      <c r="N123" s="865"/>
    </row>
    <row r="124" spans="1:14" x14ac:dyDescent="0.25">
      <c r="A124" s="865"/>
      <c r="B124" s="865"/>
      <c r="C124" s="865"/>
      <c r="D124" s="865"/>
      <c r="E124" s="865"/>
      <c r="F124" s="865"/>
      <c r="G124" s="865"/>
      <c r="H124" s="865"/>
      <c r="I124" s="865"/>
      <c r="J124" s="865"/>
      <c r="K124" s="865"/>
      <c r="L124" s="865"/>
      <c r="M124" s="865"/>
      <c r="N124" s="865"/>
    </row>
    <row r="125" spans="1:14" x14ac:dyDescent="0.25">
      <c r="A125" s="865"/>
      <c r="B125" s="865"/>
      <c r="C125" s="865"/>
      <c r="D125" s="865"/>
      <c r="E125" s="865"/>
      <c r="F125" s="865"/>
      <c r="G125" s="865"/>
      <c r="H125" s="865"/>
      <c r="I125" s="865"/>
      <c r="J125" s="865"/>
      <c r="K125" s="865"/>
      <c r="L125" s="865"/>
      <c r="M125" s="865"/>
      <c r="N125" s="865"/>
    </row>
    <row r="126" spans="1:14" x14ac:dyDescent="0.25">
      <c r="A126" s="865"/>
      <c r="B126" s="865"/>
      <c r="C126" s="865"/>
      <c r="D126" s="865"/>
      <c r="E126" s="865"/>
      <c r="F126" s="865"/>
      <c r="G126" s="865"/>
      <c r="H126" s="865"/>
      <c r="I126" s="865"/>
      <c r="J126" s="865"/>
      <c r="K126" s="865"/>
      <c r="L126" s="865"/>
      <c r="M126" s="865"/>
      <c r="N126" s="865"/>
    </row>
    <row r="127" spans="1:14" x14ac:dyDescent="0.25">
      <c r="A127" s="865"/>
      <c r="B127" s="865"/>
      <c r="C127" s="865"/>
      <c r="D127" s="865"/>
      <c r="E127" s="865"/>
      <c r="F127" s="865"/>
      <c r="G127" s="865"/>
      <c r="H127" s="865"/>
      <c r="I127" s="865"/>
      <c r="J127" s="865"/>
      <c r="K127" s="865"/>
      <c r="L127" s="865"/>
      <c r="M127" s="865"/>
      <c r="N127" s="865"/>
    </row>
    <row r="128" spans="1:14" x14ac:dyDescent="0.25">
      <c r="A128" s="865"/>
      <c r="B128" s="865"/>
      <c r="C128" s="865"/>
      <c r="D128" s="865"/>
      <c r="E128" s="865"/>
      <c r="F128" s="865"/>
      <c r="G128" s="865"/>
      <c r="H128" s="865"/>
      <c r="I128" s="865"/>
      <c r="J128" s="865"/>
      <c r="K128" s="865"/>
      <c r="L128" s="865"/>
      <c r="M128" s="865"/>
      <c r="N128" s="865"/>
    </row>
    <row r="129" spans="1:14" x14ac:dyDescent="0.25">
      <c r="A129" s="865"/>
      <c r="B129" s="865"/>
      <c r="C129" s="865"/>
      <c r="D129" s="865"/>
      <c r="E129" s="865"/>
      <c r="F129" s="865"/>
      <c r="G129" s="865"/>
      <c r="H129" s="865"/>
      <c r="I129" s="865"/>
      <c r="J129" s="865"/>
      <c r="K129" s="865"/>
      <c r="L129" s="865"/>
      <c r="M129" s="865"/>
      <c r="N129" s="865"/>
    </row>
    <row r="130" spans="1:14" x14ac:dyDescent="0.25">
      <c r="A130" s="865"/>
      <c r="B130" s="865"/>
      <c r="C130" s="865"/>
      <c r="D130" s="865"/>
      <c r="E130" s="865"/>
      <c r="F130" s="865"/>
      <c r="G130" s="865"/>
      <c r="H130" s="865"/>
      <c r="I130" s="865"/>
      <c r="J130" s="865"/>
      <c r="K130" s="865"/>
      <c r="L130" s="865"/>
      <c r="M130" s="865"/>
      <c r="N130" s="865"/>
    </row>
    <row r="131" spans="1:14" x14ac:dyDescent="0.25">
      <c r="A131" s="865"/>
      <c r="B131" s="865"/>
      <c r="C131" s="865"/>
      <c r="D131" s="865"/>
      <c r="E131" s="865"/>
      <c r="F131" s="865"/>
      <c r="G131" s="865"/>
      <c r="H131" s="865"/>
      <c r="I131" s="865"/>
      <c r="J131" s="865"/>
      <c r="K131" s="865"/>
      <c r="L131" s="865"/>
      <c r="M131" s="865"/>
      <c r="N131" s="865"/>
    </row>
    <row r="132" spans="1:14" x14ac:dyDescent="0.25">
      <c r="A132" s="865"/>
      <c r="B132" s="865"/>
      <c r="C132" s="865"/>
      <c r="D132" s="865"/>
      <c r="E132" s="865"/>
      <c r="F132" s="865"/>
      <c r="G132" s="865"/>
      <c r="H132" s="865"/>
      <c r="I132" s="865"/>
      <c r="J132" s="865"/>
      <c r="K132" s="865"/>
      <c r="L132" s="865"/>
      <c r="M132" s="865"/>
      <c r="N132" s="865"/>
    </row>
    <row r="133" spans="1:14" x14ac:dyDescent="0.25">
      <c r="A133" s="865"/>
      <c r="B133" s="865"/>
      <c r="C133" s="865"/>
      <c r="D133" s="865"/>
      <c r="E133" s="865"/>
      <c r="F133" s="865"/>
      <c r="G133" s="865"/>
      <c r="H133" s="865"/>
      <c r="I133" s="865"/>
      <c r="J133" s="865"/>
      <c r="K133" s="865"/>
      <c r="L133" s="865"/>
      <c r="M133" s="865"/>
      <c r="N133" s="865"/>
    </row>
    <row r="134" spans="1:14" x14ac:dyDescent="0.25">
      <c r="A134" s="865"/>
      <c r="B134" s="865"/>
      <c r="C134" s="865"/>
      <c r="D134" s="865"/>
      <c r="E134" s="865"/>
      <c r="F134" s="865"/>
      <c r="G134" s="865"/>
      <c r="H134" s="865"/>
      <c r="I134" s="865"/>
      <c r="J134" s="865"/>
      <c r="K134" s="865"/>
      <c r="L134" s="865"/>
      <c r="M134" s="865"/>
      <c r="N134" s="865"/>
    </row>
    <row r="135" spans="1:14" x14ac:dyDescent="0.25">
      <c r="A135" s="865"/>
      <c r="B135" s="865"/>
      <c r="C135" s="865"/>
      <c r="D135" s="865"/>
      <c r="E135" s="865"/>
      <c r="F135" s="865"/>
      <c r="G135" s="865"/>
      <c r="H135" s="865"/>
      <c r="I135" s="865"/>
      <c r="J135" s="865"/>
      <c r="K135" s="865"/>
      <c r="L135" s="865"/>
      <c r="M135" s="865"/>
      <c r="N135" s="865"/>
    </row>
    <row r="136" spans="1:14" x14ac:dyDescent="0.25">
      <c r="A136" s="865"/>
      <c r="B136" s="865"/>
      <c r="C136" s="865"/>
      <c r="D136" s="865"/>
      <c r="E136" s="865"/>
      <c r="F136" s="865"/>
      <c r="G136" s="865"/>
      <c r="H136" s="865"/>
      <c r="I136" s="865"/>
      <c r="J136" s="865"/>
      <c r="K136" s="865"/>
      <c r="L136" s="865"/>
      <c r="M136" s="865"/>
      <c r="N136" s="865"/>
    </row>
    <row r="137" spans="1:14" x14ac:dyDescent="0.25">
      <c r="A137" s="865"/>
      <c r="B137" s="865"/>
      <c r="C137" s="865"/>
      <c r="D137" s="865"/>
      <c r="E137" s="865"/>
      <c r="F137" s="865"/>
      <c r="G137" s="865"/>
      <c r="H137" s="865"/>
      <c r="I137" s="865"/>
      <c r="J137" s="865"/>
      <c r="K137" s="865"/>
      <c r="L137" s="865"/>
      <c r="M137" s="865"/>
      <c r="N137" s="865"/>
    </row>
    <row r="138" spans="1:14" x14ac:dyDescent="0.25">
      <c r="A138" s="865"/>
      <c r="B138" s="865"/>
      <c r="C138" s="865"/>
      <c r="D138" s="865"/>
      <c r="E138" s="865"/>
      <c r="F138" s="865"/>
      <c r="G138" s="865"/>
      <c r="H138" s="865"/>
      <c r="I138" s="865"/>
      <c r="J138" s="865"/>
      <c r="K138" s="865"/>
      <c r="L138" s="865"/>
      <c r="M138" s="865"/>
      <c r="N138" s="865"/>
    </row>
    <row r="139" spans="1:14" x14ac:dyDescent="0.25">
      <c r="A139" s="865"/>
      <c r="B139" s="865"/>
      <c r="C139" s="865"/>
      <c r="D139" s="865"/>
      <c r="E139" s="865"/>
      <c r="F139" s="865"/>
      <c r="G139" s="865"/>
      <c r="H139" s="865"/>
      <c r="I139" s="865"/>
      <c r="J139" s="865"/>
      <c r="K139" s="865"/>
      <c r="L139" s="865"/>
      <c r="M139" s="865"/>
      <c r="N139" s="865"/>
    </row>
    <row r="140" spans="1:14" x14ac:dyDescent="0.25">
      <c r="A140" s="865"/>
      <c r="B140" s="865"/>
      <c r="C140" s="865"/>
      <c r="D140" s="865"/>
      <c r="E140" s="865"/>
      <c r="F140" s="865"/>
      <c r="G140" s="865"/>
      <c r="H140" s="865"/>
      <c r="I140" s="865"/>
      <c r="J140" s="865"/>
      <c r="K140" s="865"/>
      <c r="L140" s="865"/>
      <c r="M140" s="865"/>
      <c r="N140" s="865"/>
    </row>
    <row r="141" spans="1:14" x14ac:dyDescent="0.25">
      <c r="A141" s="865"/>
      <c r="B141" s="865"/>
      <c r="C141" s="865"/>
      <c r="D141" s="865"/>
      <c r="E141" s="865"/>
      <c r="F141" s="865"/>
      <c r="G141" s="865"/>
      <c r="H141" s="865"/>
      <c r="I141" s="865"/>
      <c r="J141" s="865"/>
      <c r="K141" s="865"/>
      <c r="L141" s="865"/>
      <c r="M141" s="865"/>
      <c r="N141" s="865"/>
    </row>
    <row r="142" spans="1:14" x14ac:dyDescent="0.25">
      <c r="A142" s="865"/>
      <c r="B142" s="865"/>
      <c r="C142" s="865"/>
      <c r="D142" s="865"/>
      <c r="E142" s="865"/>
      <c r="F142" s="865"/>
      <c r="G142" s="865"/>
      <c r="H142" s="865"/>
      <c r="I142" s="865"/>
      <c r="J142" s="865"/>
      <c r="K142" s="865"/>
      <c r="L142" s="865"/>
      <c r="M142" s="865"/>
      <c r="N142" s="865"/>
    </row>
    <row r="143" spans="1:14" x14ac:dyDescent="0.25">
      <c r="A143" s="865"/>
      <c r="B143" s="865"/>
      <c r="C143" s="865"/>
      <c r="D143" s="865"/>
      <c r="E143" s="865"/>
      <c r="F143" s="865"/>
      <c r="G143" s="865"/>
      <c r="H143" s="865"/>
      <c r="I143" s="865"/>
      <c r="J143" s="865"/>
      <c r="K143" s="865"/>
      <c r="L143" s="865"/>
      <c r="M143" s="865"/>
      <c r="N143" s="865"/>
    </row>
    <row r="144" spans="1:14" x14ac:dyDescent="0.25">
      <c r="A144" s="865"/>
      <c r="B144" s="865"/>
      <c r="C144" s="865"/>
      <c r="D144" s="865"/>
      <c r="E144" s="865"/>
      <c r="F144" s="865"/>
      <c r="G144" s="865"/>
      <c r="H144" s="865"/>
      <c r="I144" s="865"/>
      <c r="J144" s="865"/>
      <c r="K144" s="865"/>
      <c r="L144" s="865"/>
      <c r="M144" s="865"/>
      <c r="N144" s="865"/>
    </row>
    <row r="145" spans="1:14" x14ac:dyDescent="0.25">
      <c r="A145" s="865"/>
      <c r="B145" s="865"/>
      <c r="C145" s="865"/>
      <c r="D145" s="865"/>
      <c r="E145" s="865"/>
      <c r="F145" s="865"/>
      <c r="G145" s="865"/>
      <c r="H145" s="865"/>
      <c r="I145" s="865"/>
      <c r="J145" s="865"/>
      <c r="K145" s="865"/>
      <c r="L145" s="865"/>
      <c r="M145" s="865"/>
      <c r="N145" s="865"/>
    </row>
    <row r="146" spans="1:14" x14ac:dyDescent="0.25">
      <c r="A146" s="865"/>
      <c r="B146" s="865"/>
      <c r="C146" s="865"/>
      <c r="D146" s="865"/>
      <c r="E146" s="865"/>
      <c r="F146" s="865"/>
      <c r="G146" s="865"/>
      <c r="H146" s="865"/>
      <c r="I146" s="865"/>
      <c r="J146" s="865"/>
      <c r="K146" s="865"/>
      <c r="L146" s="865"/>
      <c r="M146" s="865"/>
      <c r="N146" s="865"/>
    </row>
    <row r="147" spans="1:14" x14ac:dyDescent="0.25">
      <c r="A147" s="865"/>
      <c r="B147" s="865"/>
      <c r="C147" s="865"/>
      <c r="D147" s="865"/>
      <c r="E147" s="865"/>
      <c r="F147" s="865"/>
      <c r="G147" s="865"/>
      <c r="H147" s="865"/>
      <c r="I147" s="865"/>
      <c r="J147" s="865"/>
      <c r="K147" s="865"/>
      <c r="L147" s="865"/>
      <c r="M147" s="865"/>
      <c r="N147" s="865"/>
    </row>
    <row r="148" spans="1:14" x14ac:dyDescent="0.25">
      <c r="A148" s="865"/>
      <c r="B148" s="865"/>
      <c r="C148" s="865"/>
      <c r="D148" s="865"/>
      <c r="E148" s="865"/>
      <c r="F148" s="865"/>
      <c r="G148" s="865"/>
      <c r="H148" s="865"/>
      <c r="I148" s="865"/>
      <c r="J148" s="865"/>
      <c r="K148" s="865"/>
      <c r="L148" s="865"/>
      <c r="M148" s="865"/>
      <c r="N148" s="865"/>
    </row>
    <row r="149" spans="1:14" x14ac:dyDescent="0.25">
      <c r="A149" s="865"/>
      <c r="B149" s="865"/>
      <c r="C149" s="865"/>
      <c r="D149" s="865"/>
      <c r="E149" s="865"/>
      <c r="F149" s="865"/>
      <c r="G149" s="865"/>
      <c r="H149" s="865"/>
      <c r="I149" s="865"/>
      <c r="J149" s="865"/>
      <c r="K149" s="865"/>
      <c r="L149" s="865"/>
      <c r="M149" s="865"/>
      <c r="N149" s="865"/>
    </row>
    <row r="150" spans="1:14" x14ac:dyDescent="0.25">
      <c r="A150" s="865"/>
      <c r="B150" s="865"/>
      <c r="C150" s="865"/>
      <c r="D150" s="865"/>
      <c r="E150" s="865"/>
      <c r="F150" s="865"/>
      <c r="G150" s="865"/>
      <c r="H150" s="865"/>
      <c r="I150" s="865"/>
      <c r="J150" s="865"/>
      <c r="K150" s="865"/>
      <c r="L150" s="865"/>
      <c r="M150" s="865"/>
      <c r="N150" s="865"/>
    </row>
    <row r="151" spans="1:14" x14ac:dyDescent="0.25">
      <c r="A151" s="865"/>
      <c r="B151" s="865"/>
      <c r="C151" s="865"/>
      <c r="D151" s="865"/>
      <c r="E151" s="865"/>
      <c r="F151" s="865"/>
      <c r="G151" s="865"/>
      <c r="H151" s="865"/>
      <c r="I151" s="865"/>
      <c r="J151" s="865"/>
      <c r="K151" s="865"/>
      <c r="L151" s="865"/>
      <c r="M151" s="865"/>
      <c r="N151" s="865"/>
    </row>
    <row r="152" spans="1:14" x14ac:dyDescent="0.25">
      <c r="A152" s="865"/>
      <c r="B152" s="865"/>
      <c r="C152" s="865"/>
      <c r="D152" s="865"/>
      <c r="E152" s="865"/>
      <c r="F152" s="865"/>
      <c r="G152" s="865"/>
      <c r="H152" s="865"/>
      <c r="I152" s="865"/>
      <c r="J152" s="865"/>
      <c r="K152" s="865"/>
      <c r="L152" s="865"/>
      <c r="M152" s="865"/>
      <c r="N152" s="865"/>
    </row>
    <row r="153" spans="1:14" x14ac:dyDescent="0.25">
      <c r="A153" s="865"/>
      <c r="B153" s="865"/>
      <c r="C153" s="865"/>
      <c r="D153" s="865"/>
      <c r="E153" s="865"/>
      <c r="F153" s="865"/>
      <c r="G153" s="865"/>
      <c r="H153" s="865"/>
      <c r="I153" s="865"/>
      <c r="J153" s="865"/>
      <c r="K153" s="865"/>
      <c r="L153" s="865"/>
      <c r="M153" s="865"/>
      <c r="N153" s="865"/>
    </row>
    <row r="154" spans="1:14" x14ac:dyDescent="0.25">
      <c r="A154" s="865"/>
      <c r="B154" s="865"/>
      <c r="C154" s="865"/>
      <c r="D154" s="865"/>
      <c r="E154" s="865"/>
      <c r="F154" s="865"/>
      <c r="G154" s="865"/>
      <c r="H154" s="865"/>
      <c r="I154" s="865"/>
      <c r="J154" s="865"/>
      <c r="K154" s="865"/>
      <c r="L154" s="865"/>
      <c r="M154" s="865"/>
      <c r="N154" s="865"/>
    </row>
    <row r="155" spans="1:14" x14ac:dyDescent="0.25">
      <c r="A155" s="865"/>
      <c r="B155" s="865"/>
      <c r="C155" s="865"/>
      <c r="D155" s="865"/>
      <c r="E155" s="865"/>
      <c r="F155" s="865"/>
      <c r="G155" s="865"/>
      <c r="H155" s="865"/>
      <c r="I155" s="865"/>
      <c r="J155" s="865"/>
      <c r="K155" s="865"/>
      <c r="L155" s="865"/>
      <c r="M155" s="865"/>
      <c r="N155" s="865"/>
    </row>
    <row r="156" spans="1:14" x14ac:dyDescent="0.25">
      <c r="A156" s="865"/>
      <c r="B156" s="865"/>
      <c r="C156" s="865"/>
      <c r="D156" s="865"/>
      <c r="E156" s="865"/>
      <c r="F156" s="865"/>
      <c r="G156" s="865"/>
      <c r="H156" s="865"/>
      <c r="I156" s="865"/>
      <c r="J156" s="865"/>
      <c r="K156" s="865"/>
      <c r="L156" s="865"/>
      <c r="M156" s="865"/>
      <c r="N156" s="865"/>
    </row>
    <row r="157" spans="1:14" x14ac:dyDescent="0.25">
      <c r="A157" s="865"/>
      <c r="B157" s="865"/>
      <c r="C157" s="865"/>
      <c r="D157" s="865"/>
      <c r="E157" s="865"/>
      <c r="F157" s="865"/>
      <c r="G157" s="865"/>
      <c r="H157" s="865"/>
      <c r="I157" s="865"/>
      <c r="J157" s="865"/>
      <c r="K157" s="865"/>
      <c r="L157" s="865"/>
      <c r="M157" s="865"/>
      <c r="N157" s="865"/>
    </row>
    <row r="158" spans="1:14" x14ac:dyDescent="0.25">
      <c r="A158" s="865"/>
      <c r="B158" s="865"/>
      <c r="C158" s="865"/>
      <c r="D158" s="865"/>
      <c r="E158" s="865"/>
      <c r="F158" s="865"/>
      <c r="G158" s="865"/>
      <c r="H158" s="865"/>
      <c r="I158" s="865"/>
      <c r="J158" s="865"/>
      <c r="K158" s="865"/>
      <c r="L158" s="865"/>
      <c r="M158" s="865"/>
      <c r="N158" s="865"/>
    </row>
    <row r="159" spans="1:14" x14ac:dyDescent="0.25">
      <c r="A159" s="865"/>
      <c r="B159" s="865"/>
      <c r="C159" s="865"/>
      <c r="D159" s="865"/>
      <c r="E159" s="865"/>
      <c r="F159" s="865"/>
      <c r="G159" s="865"/>
      <c r="H159" s="865"/>
      <c r="I159" s="865"/>
      <c r="J159" s="865"/>
      <c r="K159" s="865"/>
      <c r="L159" s="865"/>
      <c r="M159" s="865"/>
      <c r="N159" s="865"/>
    </row>
    <row r="160" spans="1:14" x14ac:dyDescent="0.25">
      <c r="A160" s="865"/>
      <c r="B160" s="865"/>
      <c r="C160" s="865"/>
      <c r="D160" s="865"/>
      <c r="E160" s="865"/>
      <c r="F160" s="865"/>
      <c r="G160" s="865"/>
      <c r="H160" s="865"/>
      <c r="I160" s="865"/>
      <c r="J160" s="865"/>
      <c r="K160" s="865"/>
      <c r="L160" s="865"/>
      <c r="M160" s="865"/>
      <c r="N160" s="865"/>
    </row>
    <row r="161" spans="1:14" x14ac:dyDescent="0.25">
      <c r="A161" s="865"/>
      <c r="B161" s="865"/>
      <c r="C161" s="865"/>
      <c r="D161" s="865"/>
      <c r="E161" s="865"/>
      <c r="F161" s="865"/>
      <c r="G161" s="865"/>
      <c r="H161" s="865"/>
      <c r="I161" s="865"/>
      <c r="J161" s="865"/>
      <c r="K161" s="865"/>
      <c r="L161" s="865"/>
      <c r="M161" s="865"/>
      <c r="N161" s="865"/>
    </row>
    <row r="162" spans="1:14" x14ac:dyDescent="0.25">
      <c r="A162" s="865"/>
      <c r="B162" s="865"/>
      <c r="C162" s="865"/>
      <c r="D162" s="865"/>
      <c r="E162" s="865"/>
      <c r="F162" s="865"/>
      <c r="G162" s="865"/>
      <c r="H162" s="865"/>
      <c r="I162" s="865"/>
      <c r="J162" s="865"/>
      <c r="K162" s="865"/>
      <c r="L162" s="865"/>
      <c r="M162" s="865"/>
      <c r="N162" s="865"/>
    </row>
    <row r="163" spans="1:14" x14ac:dyDescent="0.25">
      <c r="A163" s="865"/>
      <c r="B163" s="865"/>
      <c r="C163" s="865"/>
      <c r="D163" s="865"/>
      <c r="E163" s="865"/>
      <c r="F163" s="865"/>
      <c r="G163" s="865"/>
      <c r="H163" s="865"/>
      <c r="I163" s="865"/>
      <c r="J163" s="865"/>
      <c r="K163" s="865"/>
      <c r="L163" s="865"/>
      <c r="M163" s="865"/>
      <c r="N163" s="865"/>
    </row>
    <row r="164" spans="1:14" x14ac:dyDescent="0.25">
      <c r="A164" s="865"/>
      <c r="B164" s="865"/>
      <c r="C164" s="865"/>
      <c r="D164" s="865"/>
      <c r="E164" s="865"/>
      <c r="F164" s="865"/>
      <c r="G164" s="865"/>
      <c r="H164" s="865"/>
      <c r="I164" s="865"/>
      <c r="J164" s="865"/>
      <c r="K164" s="865"/>
      <c r="L164" s="865"/>
      <c r="M164" s="865"/>
      <c r="N164" s="865"/>
    </row>
    <row r="165" spans="1:14" x14ac:dyDescent="0.25">
      <c r="A165" s="865"/>
      <c r="B165" s="865"/>
      <c r="C165" s="865"/>
      <c r="D165" s="865"/>
      <c r="E165" s="865"/>
      <c r="F165" s="865"/>
      <c r="G165" s="865"/>
      <c r="H165" s="865"/>
      <c r="I165" s="865"/>
      <c r="J165" s="865"/>
      <c r="K165" s="865"/>
      <c r="L165" s="865"/>
      <c r="M165" s="865"/>
      <c r="N165" s="865"/>
    </row>
    <row r="166" spans="1:14" x14ac:dyDescent="0.25">
      <c r="A166" s="865"/>
      <c r="B166" s="865"/>
      <c r="C166" s="865"/>
      <c r="D166" s="865"/>
      <c r="E166" s="865"/>
      <c r="F166" s="865"/>
      <c r="G166" s="865"/>
      <c r="H166" s="865"/>
      <c r="I166" s="865"/>
      <c r="J166" s="865"/>
      <c r="K166" s="865"/>
      <c r="L166" s="865"/>
      <c r="M166" s="865"/>
      <c r="N166" s="865"/>
    </row>
    <row r="167" spans="1:14" x14ac:dyDescent="0.25">
      <c r="A167" s="865"/>
      <c r="B167" s="865"/>
      <c r="C167" s="865"/>
      <c r="D167" s="865"/>
      <c r="E167" s="865"/>
      <c r="F167" s="865"/>
      <c r="G167" s="865"/>
      <c r="H167" s="865"/>
      <c r="I167" s="865"/>
      <c r="J167" s="865"/>
      <c r="K167" s="865"/>
      <c r="L167" s="865"/>
      <c r="M167" s="865"/>
      <c r="N167" s="865"/>
    </row>
    <row r="168" spans="1:14" x14ac:dyDescent="0.25">
      <c r="A168" s="865"/>
      <c r="B168" s="865"/>
      <c r="C168" s="865"/>
      <c r="D168" s="865"/>
      <c r="E168" s="865"/>
      <c r="F168" s="865"/>
      <c r="G168" s="865"/>
      <c r="H168" s="865"/>
      <c r="I168" s="865"/>
      <c r="J168" s="865"/>
      <c r="K168" s="865"/>
      <c r="L168" s="865"/>
      <c r="M168" s="865"/>
      <c r="N168" s="865"/>
    </row>
    <row r="169" spans="1:14" x14ac:dyDescent="0.25">
      <c r="A169" s="865"/>
      <c r="B169" s="865"/>
      <c r="C169" s="865"/>
      <c r="D169" s="865"/>
      <c r="E169" s="865"/>
      <c r="F169" s="865"/>
      <c r="G169" s="865"/>
      <c r="H169" s="865"/>
      <c r="I169" s="865"/>
      <c r="J169" s="865"/>
      <c r="K169" s="865"/>
      <c r="L169" s="865"/>
      <c r="M169" s="865"/>
      <c r="N169" s="865"/>
    </row>
    <row r="170" spans="1:14" x14ac:dyDescent="0.25">
      <c r="A170" s="865"/>
      <c r="B170" s="865"/>
      <c r="C170" s="865"/>
      <c r="D170" s="865"/>
      <c r="E170" s="865"/>
      <c r="F170" s="865"/>
      <c r="G170" s="865"/>
      <c r="H170" s="865"/>
      <c r="I170" s="865"/>
      <c r="J170" s="865"/>
      <c r="K170" s="865"/>
      <c r="L170" s="865"/>
      <c r="M170" s="865"/>
      <c r="N170" s="865"/>
    </row>
    <row r="171" spans="1:14" x14ac:dyDescent="0.25">
      <c r="A171" s="865"/>
      <c r="B171" s="865"/>
      <c r="C171" s="865"/>
      <c r="D171" s="865"/>
      <c r="E171" s="865"/>
      <c r="F171" s="865"/>
      <c r="G171" s="865"/>
      <c r="H171" s="865"/>
      <c r="I171" s="865"/>
      <c r="J171" s="865"/>
      <c r="K171" s="865"/>
      <c r="L171" s="865"/>
      <c r="M171" s="865"/>
      <c r="N171" s="865"/>
    </row>
    <row r="172" spans="1:14" x14ac:dyDescent="0.25">
      <c r="A172" s="865"/>
      <c r="B172" s="865"/>
      <c r="C172" s="865"/>
      <c r="D172" s="865"/>
      <c r="E172" s="865"/>
      <c r="F172" s="865"/>
      <c r="G172" s="865"/>
      <c r="H172" s="865"/>
      <c r="I172" s="865"/>
      <c r="J172" s="865"/>
      <c r="K172" s="865"/>
      <c r="L172" s="865"/>
      <c r="M172" s="865"/>
      <c r="N172" s="865"/>
    </row>
    <row r="173" spans="1:14" x14ac:dyDescent="0.25">
      <c r="A173" s="865"/>
      <c r="B173" s="865"/>
      <c r="C173" s="865"/>
      <c r="D173" s="865"/>
      <c r="E173" s="865"/>
      <c r="F173" s="865"/>
      <c r="G173" s="865"/>
      <c r="H173" s="865"/>
      <c r="I173" s="865"/>
      <c r="J173" s="865"/>
      <c r="K173" s="865"/>
      <c r="L173" s="865"/>
      <c r="M173" s="865"/>
      <c r="N173" s="865"/>
    </row>
    <row r="174" spans="1:14" x14ac:dyDescent="0.25">
      <c r="A174" s="865"/>
      <c r="B174" s="865"/>
      <c r="C174" s="865"/>
      <c r="D174" s="865"/>
      <c r="E174" s="865"/>
      <c r="F174" s="865"/>
      <c r="G174" s="865"/>
      <c r="H174" s="865"/>
      <c r="I174" s="865"/>
      <c r="J174" s="865"/>
      <c r="K174" s="865"/>
      <c r="L174" s="865"/>
      <c r="M174" s="865"/>
      <c r="N174" s="865"/>
    </row>
    <row r="175" spans="1:14" x14ac:dyDescent="0.25">
      <c r="A175" s="865"/>
      <c r="B175" s="865"/>
      <c r="C175" s="865"/>
      <c r="D175" s="865"/>
      <c r="E175" s="865"/>
      <c r="F175" s="865"/>
      <c r="G175" s="865"/>
      <c r="H175" s="865"/>
      <c r="I175" s="865"/>
      <c r="J175" s="865"/>
      <c r="K175" s="865"/>
      <c r="L175" s="865"/>
      <c r="M175" s="865"/>
      <c r="N175" s="865"/>
    </row>
    <row r="176" spans="1:14" x14ac:dyDescent="0.25">
      <c r="A176" s="865"/>
      <c r="B176" s="865"/>
      <c r="C176" s="865"/>
      <c r="D176" s="865"/>
      <c r="E176" s="865"/>
      <c r="F176" s="865"/>
      <c r="G176" s="865"/>
      <c r="H176" s="865"/>
      <c r="I176" s="865"/>
      <c r="J176" s="865"/>
      <c r="K176" s="865"/>
      <c r="L176" s="865"/>
      <c r="M176" s="865"/>
      <c r="N176" s="865"/>
    </row>
    <row r="177" spans="1:14" x14ac:dyDescent="0.25">
      <c r="A177" s="865"/>
      <c r="B177" s="865"/>
      <c r="C177" s="865"/>
      <c r="D177" s="865"/>
      <c r="E177" s="865"/>
      <c r="F177" s="865"/>
      <c r="G177" s="865"/>
      <c r="H177" s="865"/>
      <c r="I177" s="865"/>
      <c r="J177" s="865"/>
      <c r="K177" s="865"/>
      <c r="L177" s="865"/>
      <c r="M177" s="865"/>
      <c r="N177" s="865"/>
    </row>
    <row r="178" spans="1:14" x14ac:dyDescent="0.25">
      <c r="A178" s="865"/>
      <c r="B178" s="865"/>
      <c r="C178" s="865"/>
      <c r="D178" s="865"/>
      <c r="E178" s="865"/>
      <c r="F178" s="865"/>
      <c r="G178" s="865"/>
      <c r="H178" s="865"/>
      <c r="I178" s="865"/>
      <c r="J178" s="865"/>
      <c r="K178" s="865"/>
      <c r="L178" s="865"/>
      <c r="M178" s="865"/>
      <c r="N178" s="865"/>
    </row>
    <row r="179" spans="1:14" x14ac:dyDescent="0.25">
      <c r="A179" s="865"/>
      <c r="B179" s="865"/>
      <c r="C179" s="865"/>
      <c r="D179" s="865"/>
      <c r="E179" s="865"/>
      <c r="F179" s="865"/>
      <c r="G179" s="865"/>
      <c r="H179" s="865"/>
      <c r="I179" s="865"/>
      <c r="J179" s="865"/>
      <c r="K179" s="865"/>
      <c r="L179" s="865"/>
      <c r="M179" s="865"/>
      <c r="N179" s="865"/>
    </row>
    <row r="180" spans="1:14" x14ac:dyDescent="0.25">
      <c r="A180" s="865"/>
      <c r="B180" s="865"/>
      <c r="C180" s="865"/>
      <c r="D180" s="865"/>
      <c r="E180" s="865"/>
      <c r="F180" s="865"/>
      <c r="G180" s="865"/>
      <c r="H180" s="865"/>
      <c r="I180" s="865"/>
      <c r="J180" s="865"/>
      <c r="K180" s="865"/>
      <c r="L180" s="865"/>
      <c r="M180" s="865"/>
      <c r="N180" s="865"/>
    </row>
    <row r="181" spans="1:14" x14ac:dyDescent="0.25">
      <c r="A181" s="865"/>
      <c r="B181" s="865"/>
      <c r="C181" s="865"/>
      <c r="D181" s="865"/>
      <c r="E181" s="865"/>
      <c r="F181" s="865"/>
      <c r="G181" s="865"/>
      <c r="H181" s="865"/>
      <c r="I181" s="865"/>
      <c r="J181" s="865"/>
      <c r="K181" s="865"/>
      <c r="L181" s="865"/>
      <c r="M181" s="865"/>
      <c r="N181" s="865"/>
    </row>
    <row r="182" spans="1:14" x14ac:dyDescent="0.25">
      <c r="A182" s="865"/>
      <c r="B182" s="865"/>
      <c r="C182" s="865"/>
      <c r="D182" s="865"/>
      <c r="E182" s="865"/>
      <c r="F182" s="865"/>
      <c r="G182" s="865"/>
      <c r="H182" s="865"/>
      <c r="I182" s="865"/>
      <c r="J182" s="865"/>
      <c r="K182" s="865"/>
      <c r="L182" s="865"/>
      <c r="M182" s="865"/>
      <c r="N182" s="865"/>
    </row>
    <row r="183" spans="1:14" x14ac:dyDescent="0.25">
      <c r="A183" s="865"/>
      <c r="B183" s="865"/>
      <c r="C183" s="865"/>
      <c r="D183" s="865"/>
      <c r="E183" s="865"/>
      <c r="F183" s="865"/>
      <c r="G183" s="865"/>
      <c r="H183" s="865"/>
      <c r="I183" s="865"/>
      <c r="J183" s="865"/>
      <c r="K183" s="865"/>
      <c r="L183" s="865"/>
      <c r="M183" s="865"/>
      <c r="N183" s="865"/>
    </row>
    <row r="184" spans="1:14" x14ac:dyDescent="0.25">
      <c r="A184" s="865"/>
      <c r="B184" s="865"/>
      <c r="C184" s="865"/>
      <c r="D184" s="865"/>
      <c r="E184" s="865"/>
      <c r="F184" s="865"/>
      <c r="G184" s="865"/>
      <c r="H184" s="865"/>
      <c r="I184" s="865"/>
      <c r="J184" s="865"/>
      <c r="K184" s="865"/>
      <c r="L184" s="865"/>
      <c r="M184" s="865"/>
      <c r="N184" s="865"/>
    </row>
    <row r="185" spans="1:14" x14ac:dyDescent="0.25">
      <c r="A185" s="865"/>
      <c r="B185" s="865"/>
      <c r="C185" s="865"/>
      <c r="D185" s="865"/>
      <c r="E185" s="865"/>
      <c r="F185" s="865"/>
      <c r="G185" s="865"/>
      <c r="H185" s="865"/>
      <c r="I185" s="865"/>
      <c r="J185" s="865"/>
      <c r="K185" s="865"/>
      <c r="L185" s="865"/>
      <c r="M185" s="865"/>
      <c r="N185" s="865"/>
    </row>
    <row r="186" spans="1:14" x14ac:dyDescent="0.25">
      <c r="A186" s="865"/>
      <c r="B186" s="865"/>
      <c r="C186" s="865"/>
      <c r="D186" s="865"/>
      <c r="E186" s="865"/>
      <c r="F186" s="865"/>
      <c r="G186" s="865"/>
      <c r="H186" s="865"/>
      <c r="I186" s="865"/>
      <c r="J186" s="865"/>
      <c r="K186" s="865"/>
      <c r="L186" s="865"/>
      <c r="M186" s="865"/>
      <c r="N186" s="865"/>
    </row>
    <row r="187" spans="1:14" x14ac:dyDescent="0.25">
      <c r="A187" s="865"/>
      <c r="B187" s="865"/>
      <c r="C187" s="865"/>
      <c r="D187" s="865"/>
      <c r="E187" s="865"/>
      <c r="F187" s="865"/>
      <c r="G187" s="865"/>
      <c r="H187" s="865"/>
      <c r="I187" s="865"/>
      <c r="J187" s="865"/>
      <c r="K187" s="865"/>
      <c r="L187" s="865"/>
      <c r="M187" s="865"/>
      <c r="N187" s="865"/>
    </row>
    <row r="188" spans="1:14" x14ac:dyDescent="0.25">
      <c r="A188" s="865"/>
      <c r="B188" s="865"/>
      <c r="C188" s="865"/>
      <c r="D188" s="865"/>
      <c r="E188" s="865"/>
      <c r="F188" s="865"/>
      <c r="G188" s="865"/>
      <c r="H188" s="865"/>
      <c r="I188" s="865"/>
      <c r="J188" s="865"/>
      <c r="K188" s="865"/>
      <c r="L188" s="865"/>
      <c r="M188" s="865"/>
      <c r="N188" s="865"/>
    </row>
    <row r="189" spans="1:14" x14ac:dyDescent="0.25">
      <c r="A189" s="865"/>
      <c r="B189" s="865"/>
      <c r="C189" s="865"/>
      <c r="D189" s="865"/>
      <c r="E189" s="865"/>
      <c r="F189" s="865"/>
      <c r="G189" s="865"/>
      <c r="H189" s="865"/>
      <c r="I189" s="865"/>
      <c r="J189" s="865"/>
      <c r="K189" s="865"/>
      <c r="L189" s="865"/>
      <c r="M189" s="865"/>
      <c r="N189" s="865"/>
    </row>
    <row r="190" spans="1:14" x14ac:dyDescent="0.25">
      <c r="A190" s="865"/>
      <c r="B190" s="865"/>
      <c r="C190" s="865"/>
      <c r="D190" s="865"/>
      <c r="E190" s="865"/>
      <c r="F190" s="865"/>
      <c r="G190" s="865"/>
      <c r="H190" s="865"/>
      <c r="I190" s="865"/>
      <c r="J190" s="865"/>
      <c r="K190" s="865"/>
      <c r="L190" s="865"/>
      <c r="M190" s="865"/>
      <c r="N190" s="865"/>
    </row>
    <row r="191" spans="1:14" x14ac:dyDescent="0.25">
      <c r="A191" s="865"/>
      <c r="B191" s="865"/>
      <c r="C191" s="865"/>
      <c r="D191" s="865"/>
      <c r="E191" s="865"/>
      <c r="F191" s="865"/>
      <c r="G191" s="865"/>
      <c r="H191" s="865"/>
      <c r="I191" s="865"/>
      <c r="J191" s="865"/>
      <c r="K191" s="865"/>
      <c r="L191" s="865"/>
      <c r="M191" s="865"/>
      <c r="N191" s="865"/>
    </row>
    <row r="192" spans="1:14" x14ac:dyDescent="0.25">
      <c r="A192" s="865"/>
      <c r="B192" s="865"/>
      <c r="C192" s="865"/>
      <c r="D192" s="865"/>
      <c r="E192" s="865"/>
      <c r="F192" s="865"/>
      <c r="G192" s="865"/>
      <c r="H192" s="865"/>
      <c r="I192" s="865"/>
      <c r="J192" s="865"/>
      <c r="K192" s="865"/>
      <c r="L192" s="865"/>
      <c r="M192" s="865"/>
      <c r="N192" s="865"/>
    </row>
    <row r="193" spans="1:14" x14ac:dyDescent="0.25">
      <c r="A193" s="865"/>
      <c r="B193" s="865"/>
      <c r="C193" s="865"/>
      <c r="D193" s="865"/>
      <c r="E193" s="865"/>
      <c r="F193" s="865"/>
      <c r="G193" s="865"/>
      <c r="H193" s="865"/>
      <c r="I193" s="865"/>
      <c r="J193" s="865"/>
      <c r="K193" s="865"/>
      <c r="L193" s="865"/>
      <c r="M193" s="865"/>
      <c r="N193" s="865"/>
    </row>
    <row r="194" spans="1:14" x14ac:dyDescent="0.25">
      <c r="A194" s="865"/>
      <c r="B194" s="865"/>
      <c r="C194" s="865"/>
      <c r="D194" s="865"/>
      <c r="E194" s="865"/>
      <c r="F194" s="865"/>
      <c r="G194" s="865"/>
      <c r="H194" s="865"/>
      <c r="I194" s="865"/>
      <c r="J194" s="865"/>
      <c r="K194" s="865"/>
      <c r="L194" s="865"/>
      <c r="M194" s="865"/>
      <c r="N194" s="865"/>
    </row>
    <row r="195" spans="1:14" x14ac:dyDescent="0.25">
      <c r="A195" s="865"/>
      <c r="B195" s="865"/>
      <c r="C195" s="865"/>
      <c r="D195" s="865"/>
      <c r="E195" s="865"/>
      <c r="F195" s="865"/>
      <c r="G195" s="865"/>
      <c r="H195" s="865"/>
      <c r="I195" s="865"/>
      <c r="J195" s="865"/>
      <c r="K195" s="865"/>
      <c r="L195" s="865"/>
      <c r="M195" s="865"/>
      <c r="N195" s="865"/>
    </row>
    <row r="196" spans="1:14" x14ac:dyDescent="0.25">
      <c r="A196" s="865"/>
      <c r="B196" s="865"/>
      <c r="C196" s="865"/>
      <c r="D196" s="865"/>
      <c r="E196" s="865"/>
      <c r="F196" s="865"/>
      <c r="G196" s="865"/>
      <c r="H196" s="865"/>
      <c r="I196" s="865"/>
      <c r="J196" s="865"/>
      <c r="K196" s="865"/>
      <c r="L196" s="865"/>
      <c r="M196" s="865"/>
      <c r="N196" s="865"/>
    </row>
    <row r="197" spans="1:14" x14ac:dyDescent="0.25">
      <c r="A197" s="865"/>
      <c r="B197" s="865"/>
      <c r="C197" s="865"/>
      <c r="D197" s="865"/>
      <c r="E197" s="865"/>
      <c r="F197" s="865"/>
      <c r="G197" s="865"/>
      <c r="H197" s="865"/>
      <c r="I197" s="865"/>
      <c r="J197" s="865"/>
      <c r="K197" s="865"/>
      <c r="L197" s="865"/>
      <c r="M197" s="865"/>
      <c r="N197" s="865"/>
    </row>
    <row r="198" spans="1:14" x14ac:dyDescent="0.25">
      <c r="A198" s="865"/>
      <c r="B198" s="865"/>
      <c r="C198" s="865"/>
      <c r="D198" s="865"/>
      <c r="E198" s="865"/>
      <c r="F198" s="865"/>
      <c r="G198" s="865"/>
      <c r="H198" s="865"/>
      <c r="I198" s="865"/>
      <c r="J198" s="865"/>
      <c r="K198" s="865"/>
      <c r="L198" s="865"/>
      <c r="M198" s="865"/>
      <c r="N198" s="865"/>
    </row>
    <row r="199" spans="1:14" x14ac:dyDescent="0.25">
      <c r="A199" s="865"/>
      <c r="B199" s="865"/>
      <c r="C199" s="865"/>
      <c r="D199" s="865"/>
      <c r="E199" s="865"/>
      <c r="F199" s="865"/>
      <c r="G199" s="865"/>
      <c r="H199" s="865"/>
      <c r="I199" s="865"/>
      <c r="J199" s="865"/>
      <c r="K199" s="865"/>
      <c r="L199" s="865"/>
      <c r="M199" s="865"/>
      <c r="N199" s="865"/>
    </row>
    <row r="200" spans="1:14" x14ac:dyDescent="0.25">
      <c r="A200" s="865"/>
      <c r="B200" s="865"/>
      <c r="C200" s="865"/>
      <c r="D200" s="865"/>
      <c r="E200" s="865"/>
      <c r="F200" s="865"/>
      <c r="G200" s="865"/>
      <c r="H200" s="865"/>
      <c r="I200" s="865"/>
      <c r="J200" s="865"/>
      <c r="K200" s="865"/>
      <c r="L200" s="865"/>
      <c r="M200" s="865"/>
      <c r="N200" s="865"/>
    </row>
    <row r="201" spans="1:14" x14ac:dyDescent="0.25">
      <c r="A201" s="865"/>
      <c r="B201" s="865"/>
      <c r="C201" s="865"/>
      <c r="D201" s="865"/>
      <c r="E201" s="865"/>
      <c r="F201" s="865"/>
      <c r="G201" s="865"/>
      <c r="H201" s="865"/>
      <c r="I201" s="865"/>
      <c r="J201" s="865"/>
      <c r="K201" s="865"/>
      <c r="L201" s="865"/>
      <c r="M201" s="865"/>
      <c r="N201" s="865"/>
    </row>
    <row r="202" spans="1:14" x14ac:dyDescent="0.25">
      <c r="A202" s="865"/>
      <c r="B202" s="865"/>
      <c r="C202" s="865"/>
      <c r="D202" s="865"/>
      <c r="E202" s="865"/>
      <c r="F202" s="865"/>
      <c r="G202" s="865"/>
      <c r="H202" s="865"/>
      <c r="I202" s="865"/>
      <c r="J202" s="865"/>
      <c r="K202" s="865"/>
      <c r="L202" s="865"/>
      <c r="M202" s="865"/>
      <c r="N202" s="865"/>
    </row>
    <row r="203" spans="1:14" x14ac:dyDescent="0.25">
      <c r="A203" s="865"/>
      <c r="B203" s="865"/>
      <c r="C203" s="865"/>
      <c r="D203" s="865"/>
      <c r="E203" s="865"/>
      <c r="F203" s="865"/>
      <c r="G203" s="865"/>
      <c r="H203" s="865"/>
      <c r="I203" s="865"/>
      <c r="J203" s="865"/>
      <c r="K203" s="865"/>
      <c r="L203" s="865"/>
      <c r="M203" s="865"/>
      <c r="N203" s="865"/>
    </row>
    <row r="204" spans="1:14" x14ac:dyDescent="0.25">
      <c r="A204" s="865"/>
      <c r="B204" s="865"/>
      <c r="C204" s="865"/>
      <c r="D204" s="865"/>
      <c r="E204" s="865"/>
      <c r="F204" s="865"/>
      <c r="G204" s="865"/>
      <c r="H204" s="865"/>
      <c r="I204" s="865"/>
      <c r="J204" s="865"/>
      <c r="K204" s="865"/>
      <c r="L204" s="865"/>
      <c r="M204" s="865"/>
      <c r="N204" s="865"/>
    </row>
    <row r="205" spans="1:14" x14ac:dyDescent="0.25">
      <c r="A205" s="865"/>
      <c r="B205" s="865"/>
      <c r="C205" s="865"/>
      <c r="D205" s="865"/>
      <c r="E205" s="865"/>
      <c r="F205" s="865"/>
      <c r="G205" s="865"/>
      <c r="H205" s="865"/>
      <c r="I205" s="865"/>
      <c r="J205" s="865"/>
      <c r="K205" s="865"/>
      <c r="L205" s="865"/>
      <c r="M205" s="865"/>
      <c r="N205" s="865"/>
    </row>
    <row r="206" spans="1:14" x14ac:dyDescent="0.25">
      <c r="A206" s="865"/>
      <c r="B206" s="865"/>
      <c r="C206" s="865"/>
      <c r="D206" s="865"/>
      <c r="E206" s="865"/>
      <c r="F206" s="865"/>
      <c r="G206" s="865"/>
      <c r="H206" s="865"/>
      <c r="I206" s="865"/>
      <c r="J206" s="865"/>
      <c r="K206" s="865"/>
      <c r="L206" s="865"/>
      <c r="M206" s="865"/>
      <c r="N206" s="865"/>
    </row>
    <row r="207" spans="1:14" x14ac:dyDescent="0.25">
      <c r="A207" s="865"/>
      <c r="B207" s="865"/>
      <c r="C207" s="865"/>
      <c r="D207" s="865"/>
      <c r="E207" s="865"/>
      <c r="F207" s="865"/>
      <c r="G207" s="865"/>
      <c r="H207" s="865"/>
      <c r="I207" s="865"/>
      <c r="J207" s="865"/>
      <c r="K207" s="865"/>
      <c r="L207" s="865"/>
      <c r="M207" s="865"/>
      <c r="N207" s="865"/>
    </row>
    <row r="208" spans="1:14" x14ac:dyDescent="0.25">
      <c r="A208" s="865"/>
      <c r="B208" s="865"/>
      <c r="C208" s="865"/>
      <c r="D208" s="865"/>
      <c r="E208" s="865"/>
      <c r="F208" s="865"/>
      <c r="G208" s="865"/>
      <c r="H208" s="865"/>
      <c r="I208" s="865"/>
      <c r="J208" s="865"/>
      <c r="K208" s="865"/>
      <c r="L208" s="865"/>
      <c r="M208" s="865"/>
      <c r="N208" s="865"/>
    </row>
    <row r="209" spans="1:14" x14ac:dyDescent="0.25">
      <c r="A209" s="865"/>
      <c r="B209" s="865"/>
      <c r="C209" s="865"/>
      <c r="D209" s="865"/>
      <c r="E209" s="865"/>
      <c r="F209" s="865"/>
      <c r="G209" s="865"/>
      <c r="H209" s="865"/>
      <c r="I209" s="865"/>
      <c r="J209" s="866"/>
      <c r="K209" s="866"/>
      <c r="L209" s="866"/>
      <c r="M209" s="866"/>
      <c r="N209" s="866"/>
    </row>
    <row r="210" spans="1:14" x14ac:dyDescent="0.25">
      <c r="A210" s="865"/>
      <c r="B210" s="865"/>
      <c r="C210" s="865"/>
      <c r="D210" s="865"/>
      <c r="E210" s="865"/>
      <c r="F210" s="865"/>
      <c r="G210" s="865"/>
      <c r="H210" s="865"/>
      <c r="I210" s="865"/>
    </row>
    <row r="211" spans="1:14" x14ac:dyDescent="0.25">
      <c r="A211" s="865"/>
      <c r="B211" s="865"/>
      <c r="C211" s="865"/>
      <c r="D211" s="865"/>
      <c r="E211" s="865"/>
      <c r="F211" s="865"/>
      <c r="G211" s="865"/>
      <c r="H211" s="865"/>
      <c r="I211" s="865"/>
    </row>
    <row r="212" spans="1:14" x14ac:dyDescent="0.25">
      <c r="A212" s="865"/>
      <c r="B212" s="865"/>
      <c r="C212" s="865"/>
      <c r="D212" s="865"/>
      <c r="E212" s="865"/>
      <c r="F212" s="865"/>
      <c r="G212" s="865"/>
      <c r="H212" s="865"/>
      <c r="I212" s="865"/>
    </row>
    <row r="213" spans="1:14" x14ac:dyDescent="0.25">
      <c r="A213" s="865"/>
      <c r="B213" s="865"/>
      <c r="C213" s="865"/>
      <c r="D213" s="865"/>
      <c r="E213" s="865"/>
      <c r="F213" s="865"/>
      <c r="G213" s="865"/>
      <c r="H213" s="865"/>
      <c r="I213" s="865"/>
    </row>
    <row r="214" spans="1:14" x14ac:dyDescent="0.25">
      <c r="A214" s="865"/>
      <c r="B214" s="865"/>
      <c r="C214" s="865"/>
      <c r="D214" s="865"/>
      <c r="E214" s="865"/>
      <c r="F214" s="865"/>
      <c r="G214" s="865"/>
      <c r="H214" s="865"/>
      <c r="I214" s="865"/>
    </row>
    <row r="215" spans="1:14" x14ac:dyDescent="0.25">
      <c r="A215" s="865"/>
      <c r="B215" s="865"/>
      <c r="C215" s="865"/>
      <c r="D215" s="865"/>
      <c r="E215" s="865"/>
      <c r="F215" s="865"/>
      <c r="G215" s="865"/>
      <c r="H215" s="865"/>
      <c r="I215" s="865"/>
    </row>
    <row r="216" spans="1:14" x14ac:dyDescent="0.25">
      <c r="A216" s="865"/>
      <c r="B216" s="865"/>
      <c r="C216" s="865"/>
      <c r="D216" s="865"/>
      <c r="E216" s="865"/>
      <c r="F216" s="865"/>
      <c r="G216" s="865"/>
      <c r="H216" s="865"/>
      <c r="I216" s="865"/>
    </row>
    <row r="217" spans="1:14" x14ac:dyDescent="0.25">
      <c r="A217" s="865"/>
      <c r="B217" s="865"/>
      <c r="C217" s="865"/>
      <c r="D217" s="865"/>
      <c r="E217" s="865"/>
      <c r="F217" s="865"/>
      <c r="G217" s="865"/>
      <c r="H217" s="865"/>
      <c r="I217" s="865"/>
    </row>
    <row r="218" spans="1:14" x14ac:dyDescent="0.25">
      <c r="A218" s="865"/>
      <c r="B218" s="865"/>
      <c r="C218" s="865"/>
      <c r="D218" s="865"/>
      <c r="E218" s="865"/>
      <c r="F218" s="865"/>
      <c r="G218" s="865"/>
      <c r="H218" s="865"/>
      <c r="I218" s="865"/>
    </row>
    <row r="219" spans="1:14" x14ac:dyDescent="0.25">
      <c r="A219" s="865"/>
      <c r="B219" s="865"/>
      <c r="C219" s="865"/>
      <c r="D219" s="865"/>
      <c r="E219" s="865"/>
      <c r="F219" s="865"/>
      <c r="G219" s="865"/>
      <c r="H219" s="865"/>
      <c r="I219" s="865"/>
    </row>
    <row r="220" spans="1:14" x14ac:dyDescent="0.25">
      <c r="A220" s="865"/>
      <c r="B220" s="865"/>
      <c r="C220" s="865"/>
      <c r="D220" s="865"/>
      <c r="E220" s="865"/>
      <c r="F220" s="865"/>
      <c r="G220" s="865"/>
      <c r="H220" s="865"/>
      <c r="I220" s="865"/>
    </row>
    <row r="221" spans="1:14" x14ac:dyDescent="0.25">
      <c r="A221" s="865"/>
      <c r="B221" s="865"/>
      <c r="C221" s="865"/>
      <c r="D221" s="865"/>
      <c r="E221" s="865"/>
      <c r="F221" s="865"/>
      <c r="G221" s="865"/>
      <c r="H221" s="865"/>
      <c r="I221" s="865"/>
    </row>
    <row r="222" spans="1:14" x14ac:dyDescent="0.25">
      <c r="A222" s="865"/>
      <c r="B222" s="865"/>
      <c r="C222" s="865"/>
      <c r="D222" s="865"/>
      <c r="E222" s="865"/>
      <c r="F222" s="865"/>
      <c r="G222" s="865"/>
      <c r="H222" s="865"/>
      <c r="I222" s="865"/>
    </row>
    <row r="223" spans="1:14" x14ac:dyDescent="0.25">
      <c r="A223" s="865"/>
      <c r="B223" s="865"/>
      <c r="C223" s="865"/>
      <c r="D223" s="865"/>
      <c r="E223" s="865"/>
      <c r="F223" s="865"/>
      <c r="G223" s="865"/>
      <c r="H223" s="865"/>
      <c r="I223" s="865"/>
    </row>
    <row r="224" spans="1:14" x14ac:dyDescent="0.25">
      <c r="A224" s="865"/>
      <c r="B224" s="865"/>
      <c r="C224" s="865"/>
      <c r="D224" s="865"/>
      <c r="E224" s="865"/>
      <c r="F224" s="865"/>
      <c r="G224" s="865"/>
      <c r="H224" s="865"/>
      <c r="I224" s="865"/>
    </row>
    <row r="225" spans="1:9" x14ac:dyDescent="0.25">
      <c r="A225" s="865"/>
      <c r="B225" s="865"/>
      <c r="C225" s="865"/>
      <c r="D225" s="865"/>
      <c r="E225" s="865"/>
      <c r="F225" s="865"/>
      <c r="G225" s="865"/>
      <c r="H225" s="865"/>
      <c r="I225" s="865"/>
    </row>
    <row r="226" spans="1:9" x14ac:dyDescent="0.25">
      <c r="A226" s="865"/>
      <c r="B226" s="865"/>
      <c r="C226" s="865"/>
      <c r="D226" s="865"/>
      <c r="E226" s="865"/>
      <c r="F226" s="865"/>
      <c r="G226" s="865"/>
      <c r="H226" s="865"/>
      <c r="I226" s="865"/>
    </row>
    <row r="227" spans="1:9" x14ac:dyDescent="0.25">
      <c r="A227" s="865"/>
      <c r="B227" s="865"/>
      <c r="C227" s="865"/>
      <c r="D227" s="865"/>
      <c r="E227" s="865"/>
      <c r="F227" s="865"/>
      <c r="G227" s="865"/>
      <c r="H227" s="865"/>
      <c r="I227" s="865"/>
    </row>
    <row r="228" spans="1:9" x14ac:dyDescent="0.25">
      <c r="A228" s="865"/>
      <c r="B228" s="865"/>
      <c r="C228" s="865"/>
      <c r="D228" s="865"/>
      <c r="E228" s="865"/>
      <c r="F228" s="865"/>
      <c r="G228" s="865"/>
      <c r="H228" s="865"/>
      <c r="I228" s="865"/>
    </row>
    <row r="229" spans="1:9" x14ac:dyDescent="0.25">
      <c r="A229" s="865"/>
      <c r="B229" s="865"/>
      <c r="C229" s="865"/>
      <c r="D229" s="865"/>
      <c r="E229" s="865"/>
      <c r="F229" s="865"/>
      <c r="G229" s="865"/>
      <c r="H229" s="865"/>
      <c r="I229" s="865"/>
    </row>
    <row r="230" spans="1:9" x14ac:dyDescent="0.25">
      <c r="A230" s="865"/>
      <c r="B230" s="865"/>
      <c r="C230" s="865"/>
      <c r="D230" s="865"/>
      <c r="E230" s="865"/>
      <c r="F230" s="865"/>
      <c r="G230" s="865"/>
      <c r="H230" s="865"/>
      <c r="I230" s="865"/>
    </row>
    <row r="231" spans="1:9" x14ac:dyDescent="0.25">
      <c r="A231" s="865"/>
      <c r="B231" s="865"/>
      <c r="C231" s="865"/>
      <c r="D231" s="865"/>
      <c r="E231" s="865"/>
      <c r="F231" s="865"/>
      <c r="G231" s="865"/>
      <c r="H231" s="865"/>
      <c r="I231" s="865"/>
    </row>
    <row r="232" spans="1:9" x14ac:dyDescent="0.25">
      <c r="A232" s="865"/>
      <c r="B232" s="865"/>
      <c r="C232" s="865"/>
      <c r="D232" s="865"/>
      <c r="E232" s="865"/>
      <c r="F232" s="865"/>
      <c r="G232" s="865"/>
      <c r="H232" s="865"/>
      <c r="I232" s="865"/>
    </row>
    <row r="233" spans="1:9" x14ac:dyDescent="0.25">
      <c r="A233" s="865"/>
      <c r="B233" s="865"/>
      <c r="C233" s="865"/>
      <c r="D233" s="865"/>
      <c r="E233" s="865"/>
      <c r="F233" s="865"/>
      <c r="G233" s="865"/>
      <c r="H233" s="865"/>
      <c r="I233" s="865"/>
    </row>
    <row r="234" spans="1:9" x14ac:dyDescent="0.25">
      <c r="A234" s="865"/>
      <c r="B234" s="865"/>
      <c r="C234" s="865"/>
      <c r="D234" s="865"/>
      <c r="E234" s="865"/>
      <c r="F234" s="865"/>
      <c r="G234" s="865"/>
      <c r="H234" s="865"/>
      <c r="I234" s="865"/>
    </row>
    <row r="235" spans="1:9" x14ac:dyDescent="0.25">
      <c r="A235" s="865"/>
      <c r="B235" s="865"/>
      <c r="C235" s="865"/>
      <c r="D235" s="865"/>
      <c r="E235" s="865"/>
      <c r="F235" s="865"/>
      <c r="G235" s="865"/>
      <c r="H235" s="865"/>
      <c r="I235" s="865"/>
    </row>
    <row r="236" spans="1:9" x14ac:dyDescent="0.25">
      <c r="A236" s="865"/>
      <c r="B236" s="865"/>
      <c r="C236" s="865"/>
      <c r="D236" s="865"/>
      <c r="E236" s="865"/>
      <c r="F236" s="865"/>
      <c r="G236" s="865"/>
      <c r="H236" s="865"/>
      <c r="I236" s="865"/>
    </row>
    <row r="237" spans="1:9" x14ac:dyDescent="0.25">
      <c r="A237" s="865"/>
      <c r="B237" s="865"/>
      <c r="C237" s="865"/>
      <c r="D237" s="865"/>
      <c r="E237" s="865"/>
      <c r="F237" s="865"/>
      <c r="G237" s="865"/>
      <c r="H237" s="865"/>
      <c r="I237" s="865"/>
    </row>
    <row r="238" spans="1:9" x14ac:dyDescent="0.25">
      <c r="A238" s="865"/>
      <c r="B238" s="865"/>
      <c r="C238" s="865"/>
      <c r="D238" s="865"/>
      <c r="E238" s="865"/>
      <c r="F238" s="865"/>
      <c r="G238" s="865"/>
      <c r="H238" s="865"/>
      <c r="I238" s="865"/>
    </row>
    <row r="239" spans="1:9" x14ac:dyDescent="0.25">
      <c r="A239" s="865"/>
      <c r="B239" s="865"/>
      <c r="C239" s="865"/>
      <c r="D239" s="865"/>
      <c r="E239" s="865"/>
      <c r="F239" s="865"/>
      <c r="G239" s="865"/>
      <c r="H239" s="865"/>
      <c r="I239" s="865"/>
    </row>
    <row r="240" spans="1:9" x14ac:dyDescent="0.25">
      <c r="A240" s="865"/>
      <c r="B240" s="865"/>
      <c r="C240" s="865"/>
      <c r="D240" s="865"/>
      <c r="E240" s="865"/>
      <c r="F240" s="865"/>
      <c r="G240" s="865"/>
      <c r="H240" s="865"/>
      <c r="I240" s="865"/>
    </row>
    <row r="241" spans="1:9" x14ac:dyDescent="0.25">
      <c r="A241" s="865"/>
      <c r="B241" s="865"/>
      <c r="C241" s="865"/>
      <c r="D241" s="865"/>
      <c r="E241" s="865"/>
      <c r="F241" s="865"/>
      <c r="G241" s="865"/>
      <c r="H241" s="865"/>
      <c r="I241" s="865"/>
    </row>
    <row r="242" spans="1:9" x14ac:dyDescent="0.25">
      <c r="A242" s="865"/>
      <c r="B242" s="865"/>
      <c r="C242" s="865"/>
      <c r="D242" s="865"/>
      <c r="E242" s="865"/>
      <c r="F242" s="865"/>
      <c r="G242" s="865"/>
      <c r="H242" s="865"/>
      <c r="I242" s="865"/>
    </row>
    <row r="243" spans="1:9" x14ac:dyDescent="0.25">
      <c r="A243" s="865"/>
      <c r="B243" s="865"/>
      <c r="C243" s="865"/>
      <c r="D243" s="865"/>
      <c r="E243" s="865"/>
      <c r="F243" s="865"/>
      <c r="G243" s="865"/>
      <c r="H243" s="865"/>
      <c r="I243" s="865"/>
    </row>
    <row r="244" spans="1:9" x14ac:dyDescent="0.25">
      <c r="A244" s="865"/>
      <c r="B244" s="865"/>
      <c r="C244" s="865"/>
      <c r="D244" s="865"/>
      <c r="E244" s="865"/>
      <c r="F244" s="865"/>
      <c r="G244" s="865"/>
      <c r="H244" s="865"/>
      <c r="I244" s="865"/>
    </row>
    <row r="245" spans="1:9" x14ac:dyDescent="0.25">
      <c r="A245" s="865"/>
      <c r="B245" s="865"/>
      <c r="C245" s="865"/>
      <c r="D245" s="865"/>
      <c r="E245" s="865"/>
      <c r="F245" s="865"/>
      <c r="G245" s="865"/>
      <c r="H245" s="865"/>
      <c r="I245" s="865"/>
    </row>
    <row r="246" spans="1:9" x14ac:dyDescent="0.25">
      <c r="A246" s="865"/>
      <c r="B246" s="865"/>
      <c r="C246" s="865"/>
      <c r="D246" s="865"/>
      <c r="E246" s="865"/>
      <c r="F246" s="865"/>
      <c r="G246" s="865"/>
      <c r="H246" s="865"/>
      <c r="I246" s="865"/>
    </row>
    <row r="247" spans="1:9" x14ac:dyDescent="0.25">
      <c r="A247" s="865"/>
      <c r="B247" s="865"/>
      <c r="C247" s="865"/>
      <c r="D247" s="865"/>
      <c r="E247" s="865"/>
      <c r="F247" s="865"/>
      <c r="G247" s="865"/>
      <c r="H247" s="865"/>
      <c r="I247" s="865"/>
    </row>
    <row r="248" spans="1:9" x14ac:dyDescent="0.25">
      <c r="A248" s="865"/>
      <c r="B248" s="865"/>
      <c r="C248" s="865"/>
      <c r="D248" s="865"/>
      <c r="E248" s="865"/>
      <c r="F248" s="865"/>
      <c r="G248" s="865"/>
      <c r="H248" s="865"/>
      <c r="I248" s="865"/>
    </row>
    <row r="249" spans="1:9" x14ac:dyDescent="0.25">
      <c r="A249" s="865"/>
      <c r="B249" s="865"/>
      <c r="C249" s="865"/>
      <c r="D249" s="865"/>
      <c r="E249" s="865"/>
      <c r="F249" s="865"/>
      <c r="G249" s="865"/>
      <c r="H249" s="865"/>
      <c r="I249" s="865"/>
    </row>
    <row r="250" spans="1:9" x14ac:dyDescent="0.25">
      <c r="A250" s="865"/>
      <c r="B250" s="865"/>
      <c r="C250" s="865"/>
      <c r="D250" s="865"/>
      <c r="E250" s="865"/>
      <c r="F250" s="865"/>
      <c r="G250" s="865"/>
      <c r="H250" s="865"/>
      <c r="I250" s="865"/>
    </row>
    <row r="251" spans="1:9" x14ac:dyDescent="0.25">
      <c r="A251" s="865"/>
      <c r="B251" s="865"/>
      <c r="C251" s="865"/>
      <c r="D251" s="865"/>
      <c r="E251" s="865"/>
      <c r="F251" s="865"/>
      <c r="G251" s="865"/>
      <c r="H251" s="865"/>
      <c r="I251" s="865"/>
    </row>
    <row r="252" spans="1:9" x14ac:dyDescent="0.25">
      <c r="A252" s="865"/>
      <c r="B252" s="865"/>
      <c r="C252" s="865"/>
      <c r="D252" s="865"/>
      <c r="E252" s="865"/>
      <c r="F252" s="865"/>
      <c r="G252" s="865"/>
      <c r="H252" s="865"/>
      <c r="I252" s="865"/>
    </row>
    <row r="253" spans="1:9" x14ac:dyDescent="0.25">
      <c r="A253" s="865"/>
      <c r="B253" s="865"/>
      <c r="C253" s="865"/>
      <c r="D253" s="865"/>
      <c r="E253" s="865"/>
      <c r="F253" s="865"/>
      <c r="G253" s="865"/>
      <c r="H253" s="865"/>
      <c r="I253" s="865"/>
    </row>
    <row r="254" spans="1:9" x14ac:dyDescent="0.25">
      <c r="A254" s="865"/>
      <c r="B254" s="865"/>
      <c r="C254" s="865"/>
      <c r="D254" s="865"/>
      <c r="E254" s="865"/>
      <c r="F254" s="865"/>
      <c r="G254" s="865"/>
      <c r="H254" s="865"/>
      <c r="I254" s="865"/>
    </row>
    <row r="255" spans="1:9" x14ac:dyDescent="0.25">
      <c r="A255" s="865"/>
      <c r="B255" s="865"/>
      <c r="C255" s="865"/>
      <c r="D255" s="865"/>
      <c r="E255" s="865"/>
      <c r="F255" s="865"/>
      <c r="G255" s="865"/>
      <c r="H255" s="865"/>
      <c r="I255" s="865"/>
    </row>
    <row r="256" spans="1:9" x14ac:dyDescent="0.25">
      <c r="A256" s="865"/>
      <c r="B256" s="865"/>
      <c r="C256" s="865"/>
      <c r="D256" s="865"/>
      <c r="E256" s="865"/>
      <c r="F256" s="865"/>
      <c r="G256" s="865"/>
      <c r="H256" s="865"/>
      <c r="I256" s="865"/>
    </row>
    <row r="257" spans="1:9" x14ac:dyDescent="0.25">
      <c r="A257" s="865"/>
      <c r="B257" s="865"/>
      <c r="C257" s="865"/>
      <c r="D257" s="865"/>
      <c r="E257" s="865"/>
      <c r="F257" s="865"/>
      <c r="G257" s="865"/>
      <c r="H257" s="865"/>
      <c r="I257" s="865"/>
    </row>
    <row r="258" spans="1:9" x14ac:dyDescent="0.25">
      <c r="A258" s="865"/>
      <c r="B258" s="865"/>
      <c r="C258" s="865"/>
      <c r="D258" s="865"/>
      <c r="E258" s="865"/>
      <c r="F258" s="865"/>
      <c r="G258" s="865"/>
      <c r="H258" s="865"/>
      <c r="I258" s="865"/>
    </row>
    <row r="259" spans="1:9" x14ac:dyDescent="0.25">
      <c r="A259" s="865"/>
      <c r="B259" s="865"/>
      <c r="C259" s="865"/>
      <c r="D259" s="865"/>
      <c r="E259" s="865"/>
      <c r="F259" s="865"/>
      <c r="G259" s="865"/>
      <c r="H259" s="865"/>
      <c r="I259" s="865"/>
    </row>
    <row r="260" spans="1:9" x14ac:dyDescent="0.25">
      <c r="A260" s="865"/>
      <c r="B260" s="865"/>
      <c r="C260" s="865"/>
      <c r="D260" s="865"/>
      <c r="E260" s="865"/>
      <c r="F260" s="865"/>
      <c r="G260" s="865"/>
      <c r="H260" s="865"/>
      <c r="I260" s="865"/>
    </row>
    <row r="261" spans="1:9" x14ac:dyDescent="0.25">
      <c r="A261" s="865"/>
      <c r="B261" s="865"/>
      <c r="C261" s="865"/>
      <c r="D261" s="865"/>
      <c r="E261" s="865"/>
      <c r="F261" s="865"/>
      <c r="G261" s="865"/>
      <c r="H261" s="865"/>
      <c r="I261" s="865"/>
    </row>
    <row r="262" spans="1:9" x14ac:dyDescent="0.25">
      <c r="A262" s="865"/>
      <c r="B262" s="865"/>
      <c r="C262" s="865"/>
      <c r="D262" s="865"/>
      <c r="E262" s="865"/>
      <c r="F262" s="865"/>
      <c r="G262" s="865"/>
      <c r="H262" s="865"/>
      <c r="I262" s="865"/>
    </row>
    <row r="263" spans="1:9" x14ac:dyDescent="0.25">
      <c r="A263" s="865"/>
      <c r="B263" s="865"/>
      <c r="C263" s="865"/>
      <c r="D263" s="865"/>
      <c r="E263" s="865"/>
      <c r="F263" s="865"/>
      <c r="G263" s="865"/>
      <c r="H263" s="865"/>
      <c r="I263" s="865"/>
    </row>
    <row r="264" spans="1:9" x14ac:dyDescent="0.25">
      <c r="A264" s="865"/>
      <c r="B264" s="865"/>
      <c r="C264" s="865"/>
      <c r="D264" s="865"/>
      <c r="E264" s="865"/>
      <c r="F264" s="865"/>
      <c r="G264" s="865"/>
      <c r="H264" s="865"/>
      <c r="I264" s="865"/>
    </row>
    <row r="265" spans="1:9" x14ac:dyDescent="0.25">
      <c r="A265" s="865"/>
      <c r="B265" s="865"/>
      <c r="C265" s="865"/>
      <c r="D265" s="865"/>
      <c r="E265" s="865"/>
      <c r="F265" s="865"/>
      <c r="G265" s="865"/>
      <c r="H265" s="865"/>
      <c r="I265" s="865"/>
    </row>
    <row r="266" spans="1:9" x14ac:dyDescent="0.25">
      <c r="A266" s="865"/>
      <c r="B266" s="865"/>
      <c r="C266" s="865"/>
      <c r="D266" s="865"/>
      <c r="E266" s="865"/>
      <c r="F266" s="865"/>
      <c r="G266" s="865"/>
      <c r="H266" s="865"/>
      <c r="I266" s="865"/>
    </row>
    <row r="267" spans="1:9" x14ac:dyDescent="0.25">
      <c r="A267" s="865"/>
      <c r="B267" s="865"/>
      <c r="C267" s="865"/>
      <c r="D267" s="865"/>
      <c r="E267" s="865"/>
      <c r="F267" s="865"/>
      <c r="G267" s="865"/>
      <c r="H267" s="865"/>
      <c r="I267" s="865"/>
    </row>
    <row r="268" spans="1:9" x14ac:dyDescent="0.25">
      <c r="A268" s="865"/>
      <c r="B268" s="865"/>
      <c r="C268" s="865"/>
      <c r="D268" s="865"/>
      <c r="E268" s="865"/>
      <c r="F268" s="865"/>
      <c r="G268" s="865"/>
      <c r="H268" s="865"/>
      <c r="I268" s="865"/>
    </row>
    <row r="269" spans="1:9" x14ac:dyDescent="0.25">
      <c r="A269" s="865"/>
      <c r="B269" s="865"/>
      <c r="C269" s="865"/>
      <c r="D269" s="865"/>
      <c r="E269" s="865"/>
      <c r="F269" s="865"/>
      <c r="G269" s="865"/>
      <c r="H269" s="865"/>
      <c r="I269" s="865"/>
    </row>
    <row r="270" spans="1:9" x14ac:dyDescent="0.25">
      <c r="A270" s="865"/>
      <c r="B270" s="865"/>
      <c r="C270" s="865"/>
      <c r="D270" s="865"/>
      <c r="E270" s="865"/>
      <c r="F270" s="865"/>
      <c r="G270" s="865"/>
      <c r="H270" s="865"/>
      <c r="I270" s="865"/>
    </row>
    <row r="271" spans="1:9" x14ac:dyDescent="0.25">
      <c r="A271" s="865"/>
      <c r="B271" s="865"/>
      <c r="C271" s="865"/>
      <c r="D271" s="865"/>
      <c r="E271" s="865"/>
      <c r="F271" s="865"/>
      <c r="G271" s="865"/>
      <c r="H271" s="865"/>
      <c r="I271" s="865"/>
    </row>
    <row r="272" spans="1:9" x14ac:dyDescent="0.25">
      <c r="A272" s="865"/>
      <c r="B272" s="865"/>
      <c r="C272" s="865"/>
      <c r="D272" s="865"/>
      <c r="E272" s="865"/>
      <c r="F272" s="865"/>
      <c r="G272" s="865"/>
      <c r="H272" s="865"/>
      <c r="I272" s="865"/>
    </row>
    <row r="273" spans="1:9" x14ac:dyDescent="0.25">
      <c r="A273" s="865"/>
      <c r="B273" s="865"/>
      <c r="C273" s="865"/>
      <c r="D273" s="865"/>
      <c r="E273" s="865"/>
      <c r="F273" s="865"/>
      <c r="G273" s="865"/>
      <c r="H273" s="865"/>
      <c r="I273" s="865"/>
    </row>
    <row r="274" spans="1:9" x14ac:dyDescent="0.25">
      <c r="A274" s="865"/>
      <c r="B274" s="865"/>
      <c r="C274" s="865"/>
      <c r="D274" s="865"/>
      <c r="E274" s="865"/>
      <c r="F274" s="865"/>
      <c r="G274" s="865"/>
      <c r="H274" s="865"/>
      <c r="I274" s="865"/>
    </row>
    <row r="275" spans="1:9" x14ac:dyDescent="0.25">
      <c r="A275" s="865"/>
      <c r="B275" s="865"/>
      <c r="C275" s="865"/>
      <c r="D275" s="865"/>
      <c r="E275" s="865"/>
      <c r="F275" s="865"/>
      <c r="G275" s="865"/>
      <c r="H275" s="865"/>
      <c r="I275" s="865"/>
    </row>
    <row r="276" spans="1:9" x14ac:dyDescent="0.25">
      <c r="A276" s="865"/>
      <c r="B276" s="865"/>
      <c r="C276" s="865"/>
      <c r="D276" s="865"/>
      <c r="E276" s="865"/>
      <c r="F276" s="865"/>
      <c r="G276" s="865"/>
      <c r="H276" s="865"/>
      <c r="I276" s="865"/>
    </row>
    <row r="277" spans="1:9" x14ac:dyDescent="0.25">
      <c r="A277" s="865"/>
      <c r="B277" s="865"/>
      <c r="C277" s="865"/>
      <c r="D277" s="865"/>
      <c r="E277" s="865"/>
      <c r="F277" s="865"/>
      <c r="G277" s="865"/>
      <c r="H277" s="865"/>
      <c r="I277" s="865"/>
    </row>
    <row r="278" spans="1:9" x14ac:dyDescent="0.25">
      <c r="A278" s="865"/>
      <c r="B278" s="865"/>
      <c r="C278" s="865"/>
      <c r="D278" s="865"/>
      <c r="E278" s="865"/>
      <c r="F278" s="865"/>
      <c r="G278" s="865"/>
      <c r="H278" s="865"/>
      <c r="I278" s="865"/>
    </row>
    <row r="279" spans="1:9" x14ac:dyDescent="0.25">
      <c r="A279" s="865"/>
      <c r="B279" s="865"/>
      <c r="C279" s="865"/>
      <c r="D279" s="865"/>
      <c r="E279" s="865"/>
      <c r="F279" s="865"/>
      <c r="G279" s="865"/>
      <c r="H279" s="865"/>
      <c r="I279" s="865"/>
    </row>
    <row r="280" spans="1:9" x14ac:dyDescent="0.25">
      <c r="A280" s="865"/>
      <c r="B280" s="865"/>
      <c r="C280" s="865"/>
      <c r="D280" s="865"/>
      <c r="E280" s="865"/>
      <c r="F280" s="865"/>
      <c r="G280" s="865"/>
      <c r="H280" s="865"/>
      <c r="I280" s="865"/>
    </row>
  </sheetData>
  <hyperlinks>
    <hyperlink ref="B4" location="SU_A0600" display="SU_A0600"/>
    <hyperlink ref="F2" location="SU_A0600_BOM" display="Back to BOM"/>
  </hyperlinks>
  <pageMargins left="0.31496062992125984" right="0.31496062992125984" top="0.31496062992125984" bottom="0.39370078740157483" header="0.51181102362204722" footer="0.31496062992125984"/>
  <pageSetup paperSize="9" scale="58" fitToHeight="99" orientation="landscape" horizontalDpi="1200" verticalDpi="1200" r:id="rId1"/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="70" zoomScaleNormal="7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34.7109375" style="103" customWidth="1"/>
    <col min="3" max="3" width="27.7109375" style="103" customWidth="1"/>
    <col min="4" max="6" width="11.5703125" style="103"/>
    <col min="7" max="7" width="22.28515625" style="103" customWidth="1"/>
    <col min="8" max="8" width="11.5703125" style="103"/>
    <col min="9" max="9" width="27.28515625" style="103" customWidth="1"/>
    <col min="10" max="12" width="11.5703125" style="103"/>
    <col min="13" max="13" width="13.28515625" style="103" customWidth="1"/>
    <col min="14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899" t="s">
        <v>0</v>
      </c>
      <c r="B2" s="104" t="s">
        <v>1</v>
      </c>
      <c r="C2" s="869"/>
      <c r="D2" s="869"/>
      <c r="E2" s="869"/>
      <c r="F2" s="58" t="s">
        <v>2</v>
      </c>
      <c r="G2" s="869"/>
      <c r="H2" s="869"/>
      <c r="I2" s="869"/>
      <c r="J2" s="898" t="s">
        <v>3</v>
      </c>
      <c r="K2" s="872">
        <v>81</v>
      </c>
      <c r="L2" s="869"/>
      <c r="M2" s="897" t="s">
        <v>18</v>
      </c>
      <c r="N2" s="871">
        <f>SU_06002_m+SU_06002_p</f>
        <v>1.5427786126391492</v>
      </c>
      <c r="O2" s="128"/>
    </row>
    <row r="3" spans="1:15" ht="14.45" x14ac:dyDescent="0.3">
      <c r="A3" s="895" t="s">
        <v>5</v>
      </c>
      <c r="B3" s="104" t="str">
        <f>'SU A0600'!B3</f>
        <v>Suspension &amp; Shocks</v>
      </c>
      <c r="C3" s="869"/>
      <c r="D3" s="897" t="s">
        <v>8</v>
      </c>
      <c r="E3" s="869"/>
      <c r="F3" s="869"/>
      <c r="G3" s="869"/>
      <c r="H3" s="869"/>
      <c r="I3" s="869"/>
      <c r="J3" s="869"/>
      <c r="K3" s="869"/>
      <c r="L3" s="869"/>
      <c r="M3" s="896" t="s">
        <v>6</v>
      </c>
      <c r="N3" s="890">
        <v>1</v>
      </c>
      <c r="O3" s="128"/>
    </row>
    <row r="4" spans="1:15" ht="14.45" x14ac:dyDescent="0.3">
      <c r="A4" s="895" t="s">
        <v>7</v>
      </c>
      <c r="B4" s="58" t="str">
        <f>'SU A0600'!B4</f>
        <v>Front Bell Crank</v>
      </c>
      <c r="C4" s="869"/>
      <c r="D4" s="896" t="s">
        <v>10</v>
      </c>
      <c r="E4" s="869"/>
      <c r="F4" s="869"/>
      <c r="G4" s="869"/>
      <c r="H4" s="869"/>
      <c r="I4" s="869"/>
      <c r="J4" s="897" t="s">
        <v>8</v>
      </c>
      <c r="K4" s="869"/>
      <c r="L4" s="869"/>
      <c r="M4" s="869"/>
      <c r="N4" s="869"/>
      <c r="O4" s="128"/>
    </row>
    <row r="5" spans="1:15" ht="14.45" x14ac:dyDescent="0.3">
      <c r="A5" s="895" t="s">
        <v>17</v>
      </c>
      <c r="B5" s="889" t="s">
        <v>181</v>
      </c>
      <c r="C5" s="869"/>
      <c r="D5" s="896" t="s">
        <v>14</v>
      </c>
      <c r="E5" s="869"/>
      <c r="F5" s="869"/>
      <c r="G5" s="869"/>
      <c r="H5" s="869"/>
      <c r="I5" s="869"/>
      <c r="J5" s="896" t="s">
        <v>10</v>
      </c>
      <c r="K5" s="869"/>
      <c r="L5" s="869"/>
      <c r="M5" s="897" t="s">
        <v>11</v>
      </c>
      <c r="N5" s="871">
        <f>N2*N3</f>
        <v>1.5427786126391492</v>
      </c>
      <c r="O5" s="128"/>
    </row>
    <row r="6" spans="1:15" ht="14.45" x14ac:dyDescent="0.3">
      <c r="A6" s="895" t="s">
        <v>9</v>
      </c>
      <c r="B6" s="869" t="s">
        <v>386</v>
      </c>
      <c r="C6" s="869"/>
      <c r="D6" s="869"/>
      <c r="E6" s="869"/>
      <c r="F6" s="869"/>
      <c r="G6" s="869"/>
      <c r="H6" s="869"/>
      <c r="I6" s="869"/>
      <c r="J6" s="896" t="s">
        <v>14</v>
      </c>
      <c r="K6" s="869"/>
      <c r="L6" s="869"/>
      <c r="M6" s="869"/>
      <c r="N6" s="869"/>
      <c r="O6" s="128"/>
    </row>
    <row r="7" spans="1:15" ht="14.45" x14ac:dyDescent="0.3">
      <c r="A7" s="895" t="s">
        <v>12</v>
      </c>
      <c r="B7" s="104" t="s">
        <v>13</v>
      </c>
      <c r="C7" s="869"/>
      <c r="D7" s="869"/>
      <c r="E7" s="869"/>
      <c r="F7" s="869"/>
      <c r="G7" s="869"/>
      <c r="H7" s="869"/>
      <c r="I7" s="869"/>
      <c r="J7" s="869"/>
      <c r="K7" s="869"/>
      <c r="L7" s="869"/>
      <c r="M7" s="869"/>
      <c r="N7" s="869"/>
      <c r="O7" s="128"/>
    </row>
    <row r="8" spans="1:15" ht="14.45" x14ac:dyDescent="0.3">
      <c r="A8" s="895" t="s">
        <v>15</v>
      </c>
      <c r="B8" s="104"/>
      <c r="C8" s="869"/>
      <c r="D8" s="869"/>
      <c r="E8" s="869"/>
      <c r="F8" s="869"/>
      <c r="G8" s="869"/>
      <c r="H8" s="869"/>
      <c r="I8" s="869"/>
      <c r="J8" s="869"/>
      <c r="K8" s="869"/>
      <c r="L8" s="869"/>
      <c r="M8" s="869"/>
      <c r="N8" s="869"/>
      <c r="O8" s="128"/>
    </row>
    <row r="9" spans="1:15" ht="14.45" x14ac:dyDescent="0.3">
      <c r="A9" s="870"/>
      <c r="B9" s="869"/>
      <c r="C9" s="869"/>
      <c r="D9" s="869"/>
      <c r="E9" s="869"/>
      <c r="F9" s="869"/>
      <c r="G9" s="869"/>
      <c r="H9" s="869"/>
      <c r="I9" s="869"/>
      <c r="J9" s="869"/>
      <c r="K9" s="869"/>
      <c r="L9" s="869"/>
      <c r="M9" s="869"/>
      <c r="N9" s="869"/>
      <c r="O9" s="128"/>
    </row>
    <row r="10" spans="1:15" ht="14.45" x14ac:dyDescent="0.3">
      <c r="A10" s="894" t="s">
        <v>16</v>
      </c>
      <c r="B10" s="893" t="s">
        <v>38</v>
      </c>
      <c r="C10" s="880" t="s">
        <v>22</v>
      </c>
      <c r="D10" s="880" t="s">
        <v>23</v>
      </c>
      <c r="E10" s="880" t="s">
        <v>31</v>
      </c>
      <c r="F10" s="880" t="s">
        <v>32</v>
      </c>
      <c r="G10" s="880" t="s">
        <v>33</v>
      </c>
      <c r="H10" s="880" t="s">
        <v>34</v>
      </c>
      <c r="I10" s="880" t="s">
        <v>39</v>
      </c>
      <c r="J10" s="880" t="s">
        <v>40</v>
      </c>
      <c r="K10" s="880" t="s">
        <v>41</v>
      </c>
      <c r="L10" s="880" t="s">
        <v>42</v>
      </c>
      <c r="M10" s="880" t="s">
        <v>19</v>
      </c>
      <c r="N10" s="880" t="s">
        <v>20</v>
      </c>
      <c r="O10" s="128"/>
    </row>
    <row r="11" spans="1:15" ht="14.45" x14ac:dyDescent="0.3">
      <c r="A11" s="892">
        <v>10</v>
      </c>
      <c r="B11" s="258" t="s">
        <v>110</v>
      </c>
      <c r="C11" s="878" t="s">
        <v>162</v>
      </c>
      <c r="D11" s="877">
        <v>2.25</v>
      </c>
      <c r="E11" s="887">
        <f>J11*K11*L11</f>
        <v>2.4168272284066282E-2</v>
      </c>
      <c r="F11" s="878" t="s">
        <v>43</v>
      </c>
      <c r="G11" s="878"/>
      <c r="H11" s="886"/>
      <c r="I11" s="885" t="s">
        <v>385</v>
      </c>
      <c r="J11" s="885">
        <f>PI()*(7*10^-3)^2</f>
        <v>1.5393804002589989E-4</v>
      </c>
      <c r="K11" s="884">
        <v>0.02</v>
      </c>
      <c r="L11" s="883">
        <v>7850</v>
      </c>
      <c r="M11" s="883">
        <v>1</v>
      </c>
      <c r="N11" s="877">
        <f>D11*E11*M11</f>
        <v>5.4378612639149136E-2</v>
      </c>
      <c r="O11" s="128"/>
    </row>
    <row r="12" spans="1:15" ht="14.45" x14ac:dyDescent="0.3">
      <c r="A12" s="876"/>
      <c r="B12" s="873"/>
      <c r="C12" s="873"/>
      <c r="D12" s="873"/>
      <c r="E12" s="873"/>
      <c r="F12" s="873"/>
      <c r="G12" s="873"/>
      <c r="H12" s="873"/>
      <c r="I12" s="873"/>
      <c r="J12" s="873"/>
      <c r="K12" s="873"/>
      <c r="L12" s="873"/>
      <c r="M12" s="875" t="s">
        <v>20</v>
      </c>
      <c r="N12" s="882">
        <f>N11</f>
        <v>5.4378612639149136E-2</v>
      </c>
      <c r="O12" s="128"/>
    </row>
    <row r="13" spans="1:15" ht="14.45" x14ac:dyDescent="0.3">
      <c r="A13" s="870"/>
      <c r="B13" s="869"/>
      <c r="C13" s="869"/>
      <c r="D13" s="869"/>
      <c r="E13" s="869"/>
      <c r="F13" s="869"/>
      <c r="G13" s="869"/>
      <c r="H13" s="869"/>
      <c r="I13" s="869"/>
      <c r="J13" s="869"/>
      <c r="K13" s="869"/>
      <c r="L13" s="869"/>
      <c r="M13" s="869"/>
      <c r="N13" s="869"/>
      <c r="O13" s="128"/>
    </row>
    <row r="14" spans="1:15" ht="14.45" x14ac:dyDescent="0.3">
      <c r="A14" s="881" t="s">
        <v>16</v>
      </c>
      <c r="B14" s="880" t="s">
        <v>21</v>
      </c>
      <c r="C14" s="880" t="s">
        <v>22</v>
      </c>
      <c r="D14" s="880" t="s">
        <v>23</v>
      </c>
      <c r="E14" s="880" t="s">
        <v>24</v>
      </c>
      <c r="F14" s="880" t="s">
        <v>19</v>
      </c>
      <c r="G14" s="880" t="s">
        <v>25</v>
      </c>
      <c r="H14" s="880" t="s">
        <v>26</v>
      </c>
      <c r="I14" s="880" t="s">
        <v>20</v>
      </c>
      <c r="J14" s="873"/>
      <c r="K14" s="873"/>
      <c r="L14" s="873"/>
      <c r="M14" s="873"/>
      <c r="N14" s="873"/>
      <c r="O14" s="128"/>
    </row>
    <row r="15" spans="1:15" ht="14.45" x14ac:dyDescent="0.3">
      <c r="A15" s="879">
        <v>10</v>
      </c>
      <c r="B15" s="878" t="s">
        <v>81</v>
      </c>
      <c r="C15" s="878"/>
      <c r="D15" s="877">
        <v>1.3</v>
      </c>
      <c r="E15" s="878" t="s">
        <v>72</v>
      </c>
      <c r="F15" s="878">
        <v>1</v>
      </c>
      <c r="G15" s="878"/>
      <c r="H15" s="878"/>
      <c r="I15" s="877">
        <v>1.3</v>
      </c>
      <c r="J15" s="869"/>
      <c r="K15" s="869"/>
      <c r="L15" s="869"/>
      <c r="M15" s="869"/>
      <c r="N15" s="869"/>
      <c r="O15" s="128"/>
    </row>
    <row r="16" spans="1:15" ht="14.45" x14ac:dyDescent="0.3">
      <c r="A16" s="879">
        <v>20</v>
      </c>
      <c r="B16" s="878" t="s">
        <v>380</v>
      </c>
      <c r="C16" s="878" t="s">
        <v>379</v>
      </c>
      <c r="D16" s="877">
        <v>0.04</v>
      </c>
      <c r="E16" s="878" t="s">
        <v>79</v>
      </c>
      <c r="F16" s="878">
        <v>1.57</v>
      </c>
      <c r="G16" s="878" t="s">
        <v>93</v>
      </c>
      <c r="H16" s="878">
        <v>3</v>
      </c>
      <c r="I16" s="877">
        <f>D16*F16*H16</f>
        <v>0.18840000000000001</v>
      </c>
      <c r="J16" s="869"/>
      <c r="K16" s="869"/>
      <c r="L16" s="869"/>
      <c r="M16" s="869"/>
      <c r="N16" s="869"/>
      <c r="O16" s="128"/>
    </row>
    <row r="17" spans="1:15" ht="14.45" x14ac:dyDescent="0.3">
      <c r="A17" s="876"/>
      <c r="B17" s="873"/>
      <c r="C17" s="873"/>
      <c r="D17" s="873"/>
      <c r="E17" s="873"/>
      <c r="F17" s="873"/>
      <c r="G17" s="873"/>
      <c r="H17" s="875" t="s">
        <v>20</v>
      </c>
      <c r="I17" s="874">
        <f>I15+I16</f>
        <v>1.4883999999999999</v>
      </c>
      <c r="J17" s="873"/>
      <c r="K17" s="873"/>
      <c r="L17" s="873"/>
      <c r="M17" s="873"/>
      <c r="N17" s="873"/>
      <c r="O17" s="128"/>
    </row>
    <row r="18" spans="1:15" ht="14.45" x14ac:dyDescent="0.3">
      <c r="A18" s="870"/>
      <c r="B18" s="869"/>
      <c r="C18" s="869"/>
      <c r="D18" s="869"/>
      <c r="E18" s="869"/>
      <c r="F18" s="869"/>
      <c r="G18" s="869"/>
      <c r="H18" s="872"/>
      <c r="I18" s="871"/>
      <c r="J18" s="869"/>
      <c r="K18" s="869"/>
      <c r="L18" s="869"/>
      <c r="M18" s="869"/>
      <c r="N18" s="869"/>
      <c r="O18" s="128"/>
    </row>
    <row r="19" spans="1:15" ht="14.45" x14ac:dyDescent="0.3">
      <c r="A19" s="870"/>
      <c r="B19" s="869"/>
      <c r="C19" s="869"/>
      <c r="D19" s="869"/>
      <c r="E19" s="869"/>
      <c r="F19" s="869"/>
      <c r="G19" s="869"/>
      <c r="H19" s="869"/>
      <c r="I19" s="869"/>
      <c r="J19" s="869"/>
      <c r="K19" s="869"/>
      <c r="L19" s="869"/>
      <c r="M19" s="869"/>
      <c r="N19" s="869"/>
      <c r="O19" s="128"/>
    </row>
    <row r="20" spans="1:15" ht="14.45" x14ac:dyDescent="0.3">
      <c r="A20" s="130"/>
      <c r="B20" s="105"/>
      <c r="C20" s="105"/>
      <c r="D20" s="105"/>
      <c r="E20" s="105"/>
      <c r="F20" s="105"/>
      <c r="G20" s="105"/>
      <c r="H20" s="105"/>
      <c r="I20" s="105"/>
      <c r="J20" s="105"/>
      <c r="K20" s="105"/>
      <c r="L20" s="105"/>
      <c r="M20" s="105"/>
      <c r="N20" s="105"/>
      <c r="O20" s="128"/>
    </row>
    <row r="21" spans="1:15" ht="14.45" x14ac:dyDescent="0.3">
      <c r="A21" s="130"/>
      <c r="B21" s="105"/>
      <c r="C21" s="105"/>
      <c r="D21" s="105"/>
      <c r="E21" s="105"/>
      <c r="F21" s="105"/>
      <c r="G21" s="105"/>
      <c r="H21" s="105"/>
      <c r="I21" s="105"/>
      <c r="J21" s="105"/>
      <c r="K21" s="105"/>
      <c r="L21" s="105"/>
      <c r="M21" s="105"/>
      <c r="N21" s="105"/>
      <c r="O21" s="128"/>
    </row>
    <row r="22" spans="1:15" thickBot="1" x14ac:dyDescent="0.35">
      <c r="A22" s="138"/>
      <c r="B22" s="139"/>
      <c r="C22" s="139"/>
      <c r="D22" s="139"/>
      <c r="E22" s="139"/>
      <c r="F22" s="139"/>
      <c r="G22" s="139"/>
      <c r="H22" s="139"/>
      <c r="I22" s="139"/>
      <c r="J22" s="139"/>
      <c r="K22" s="139"/>
      <c r="L22" s="139"/>
      <c r="M22" s="139"/>
      <c r="N22" s="139"/>
      <c r="O22" s="140"/>
    </row>
  </sheetData>
  <hyperlinks>
    <hyperlink ref="F2" location="SU_A0600_BOM" display="Back to BOM"/>
    <hyperlink ref="B4" location="SU_A0600" display="SU_A0600"/>
  </hyperlinks>
  <pageMargins left="0.31496062992125984" right="0.31496062992125984" top="0.31496062992125984" bottom="0.39370078740157483" header="0.51181102362204722" footer="0.31496062992125984"/>
  <pageSetup paperSize="9" scale="59" fitToHeight="99" orientation="landscape" horizontalDpi="1200" verticalDpi="1200" r:id="rId1"/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8"/>
  <sheetViews>
    <sheetView zoomScale="70" zoomScaleNormal="7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 customWidth="1"/>
    <col min="2" max="2" width="34.85546875" style="103" customWidth="1"/>
    <col min="3" max="3" width="36.42578125" style="103" customWidth="1"/>
    <col min="4" max="4" width="11.5703125" style="103"/>
    <col min="5" max="5" width="13.28515625" style="103" bestFit="1" customWidth="1"/>
    <col min="6" max="6" width="11.5703125" style="103"/>
    <col min="7" max="7" width="19" style="103" customWidth="1"/>
    <col min="8" max="8" width="11.5703125" style="103"/>
    <col min="9" max="9" width="27.42578125" style="103" customWidth="1"/>
    <col min="10" max="16384" width="11.5703125" style="103"/>
  </cols>
  <sheetData>
    <row r="1" spans="1:16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6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SU_06003_m+SU_06003_p</f>
        <v>0.88140624999999995</v>
      </c>
      <c r="O2" s="107"/>
    </row>
    <row r="3" spans="1:16" ht="14.45" x14ac:dyDescent="0.3">
      <c r="A3" s="377" t="s">
        <v>5</v>
      </c>
      <c r="B3" s="104" t="str">
        <f>'SU A0600'!B3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2</v>
      </c>
      <c r="O3" s="107"/>
    </row>
    <row r="4" spans="1:16" ht="14.45" x14ac:dyDescent="0.3">
      <c r="A4" s="377" t="s">
        <v>7</v>
      </c>
      <c r="B4" s="58" t="str">
        <f>'SU A0600'!B4</f>
        <v>Front Bell Crank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6" ht="14.45" x14ac:dyDescent="0.3">
      <c r="A5" s="377" t="s">
        <v>17</v>
      </c>
      <c r="B5" s="109" t="s">
        <v>394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1.7628124999999999</v>
      </c>
      <c r="O5" s="107"/>
    </row>
    <row r="6" spans="1:16" ht="14.45" x14ac:dyDescent="0.3">
      <c r="A6" s="377" t="s">
        <v>9</v>
      </c>
      <c r="B6" s="869" t="s">
        <v>393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6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6" ht="14.45" x14ac:dyDescent="0.3">
      <c r="A8" s="377" t="s">
        <v>15</v>
      </c>
      <c r="B8" s="104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6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6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6" ht="14.45" x14ac:dyDescent="0.3">
      <c r="A11" s="243">
        <v>10</v>
      </c>
      <c r="B11" s="855" t="s">
        <v>110</v>
      </c>
      <c r="C11" s="373" t="s">
        <v>392</v>
      </c>
      <c r="D11" s="167">
        <v>2.25</v>
      </c>
      <c r="E11" s="902">
        <f>L11*J11*K11</f>
        <v>0.176625</v>
      </c>
      <c r="F11" s="373" t="s">
        <v>43</v>
      </c>
      <c r="G11" s="373"/>
      <c r="H11" s="168"/>
      <c r="I11" s="372" t="s">
        <v>391</v>
      </c>
      <c r="J11" s="901">
        <f>125*60*10^-6</f>
        <v>7.4999999999999997E-3</v>
      </c>
      <c r="K11" s="170">
        <v>3.0000000000000001E-3</v>
      </c>
      <c r="L11" s="852">
        <v>7850</v>
      </c>
      <c r="M11" s="175">
        <v>1</v>
      </c>
      <c r="N11" s="167">
        <f>IF(J11="",D11*M11,D11*J11*K11*L11*M11)</f>
        <v>0.39740625000000002</v>
      </c>
      <c r="O11" s="112"/>
      <c r="P11" s="113"/>
    </row>
    <row r="12" spans="1:16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0.39740625000000002</v>
      </c>
      <c r="O12" s="107"/>
    </row>
    <row r="13" spans="1:16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6" ht="14.45" x14ac:dyDescent="0.3">
      <c r="A14" s="821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115"/>
      <c r="L14" s="115"/>
      <c r="M14" s="115"/>
      <c r="N14" s="115"/>
      <c r="O14" s="107"/>
    </row>
    <row r="15" spans="1:16" ht="28.9" x14ac:dyDescent="0.3">
      <c r="A15" s="900">
        <v>10</v>
      </c>
      <c r="B15" s="878" t="s">
        <v>390</v>
      </c>
      <c r="C15" s="878" t="s">
        <v>389</v>
      </c>
      <c r="D15" s="877">
        <v>1.3</v>
      </c>
      <c r="E15" s="878" t="s">
        <v>72</v>
      </c>
      <c r="F15" s="878">
        <v>1</v>
      </c>
      <c r="G15" s="211" t="s">
        <v>388</v>
      </c>
      <c r="H15" s="878">
        <v>0.25</v>
      </c>
      <c r="I15" s="877">
        <f>D15*F15*H15</f>
        <v>0.32500000000000001</v>
      </c>
      <c r="J15" s="122"/>
      <c r="K15" s="122"/>
      <c r="L15" s="122"/>
      <c r="M15" s="122"/>
      <c r="N15" s="122"/>
      <c r="O15" s="123"/>
      <c r="P15" s="124"/>
    </row>
    <row r="16" spans="1:16" ht="14.45" x14ac:dyDescent="0.3">
      <c r="A16" s="900">
        <v>20</v>
      </c>
      <c r="B16" s="878" t="s">
        <v>92</v>
      </c>
      <c r="C16" s="878" t="s">
        <v>387</v>
      </c>
      <c r="D16" s="877">
        <v>0.01</v>
      </c>
      <c r="E16" s="878" t="s">
        <v>76</v>
      </c>
      <c r="F16" s="878">
        <v>5.3</v>
      </c>
      <c r="G16" s="878" t="s">
        <v>93</v>
      </c>
      <c r="H16" s="878">
        <v>3</v>
      </c>
      <c r="I16" s="877">
        <f>D16*F16*H16</f>
        <v>0.159</v>
      </c>
      <c r="J16" s="105"/>
      <c r="K16" s="105"/>
      <c r="L16" s="105"/>
      <c r="M16" s="105"/>
      <c r="N16" s="105"/>
      <c r="O16" s="107"/>
    </row>
    <row r="17" spans="1:15" ht="14.45" x14ac:dyDescent="0.3">
      <c r="A17" s="114"/>
      <c r="B17" s="115"/>
      <c r="C17" s="115"/>
      <c r="D17" s="115"/>
      <c r="E17" s="115"/>
      <c r="F17" s="115"/>
      <c r="G17" s="115"/>
      <c r="H17" s="359" t="s">
        <v>20</v>
      </c>
      <c r="I17" s="358">
        <f>SUM(I15:I16)</f>
        <v>0.48399999999999999</v>
      </c>
      <c r="J17" s="115"/>
      <c r="K17" s="115"/>
      <c r="L17" s="115"/>
      <c r="M17" s="115"/>
      <c r="N17" s="115"/>
      <c r="O17" s="107"/>
    </row>
    <row r="18" spans="1:15" thickBot="1" x14ac:dyDescent="0.35">
      <c r="A18" s="118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119"/>
      <c r="O18" s="120"/>
    </row>
  </sheetData>
  <hyperlinks>
    <hyperlink ref="E3" location="dSU_06003" display="Drawing"/>
    <hyperlink ref="G2" location="SU_A0600_BOM" display="Back to BOM"/>
    <hyperlink ref="B4" location="SU_A0600" display="SU_A0600"/>
  </hyperlinks>
  <pageMargins left="0.31496062992125984" right="0.31496062992125984" top="0.31496062992125984" bottom="0.39370078740157483" header="0.51181102362204722" footer="0.31496062992125984"/>
  <pageSetup paperSize="9" scale="57" fitToHeight="99" orientation="landscape" horizontalDpi="1200" verticalDpi="1200" r:id="rId1"/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2.140625" style="103" customWidth="1"/>
    <col min="2" max="16384" width="11.5703125" style="103"/>
  </cols>
  <sheetData>
    <row r="1" spans="1:2" x14ac:dyDescent="0.3">
      <c r="A1" s="103" t="s">
        <v>396</v>
      </c>
      <c r="B1" s="60" t="s">
        <v>395</v>
      </c>
    </row>
  </sheetData>
  <hyperlinks>
    <hyperlink ref="B1" location="SU_06003" display="SU_06003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0"/>
  <sheetViews>
    <sheetView zoomScale="70" zoomScaleNormal="7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39.140625" style="103" customWidth="1"/>
    <col min="3" max="3" width="30.85546875" style="103" customWidth="1"/>
    <col min="4" max="6" width="11.5703125" style="103"/>
    <col min="7" max="7" width="36.7109375" style="103" customWidth="1"/>
    <col min="8" max="8" width="11.5703125" style="103"/>
    <col min="9" max="9" width="29.28515625" style="103" customWidth="1"/>
    <col min="10" max="14" width="11.5703125" style="103"/>
    <col min="15" max="15" width="7.7109375" style="103" customWidth="1"/>
    <col min="16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899" t="s">
        <v>0</v>
      </c>
      <c r="B2" s="104" t="s">
        <v>1</v>
      </c>
      <c r="C2" s="869"/>
      <c r="D2" s="869"/>
      <c r="E2" s="869"/>
      <c r="F2" s="58" t="s">
        <v>2</v>
      </c>
      <c r="G2" s="869"/>
      <c r="H2" s="869"/>
      <c r="I2" s="869"/>
      <c r="J2" s="898" t="s">
        <v>3</v>
      </c>
      <c r="K2" s="872">
        <v>81</v>
      </c>
      <c r="L2" s="869"/>
      <c r="M2" s="897" t="s">
        <v>18</v>
      </c>
      <c r="N2" s="871">
        <f>SU_06004_m+SU_06004_p</f>
        <v>2.2702062500000002</v>
      </c>
      <c r="O2" s="128"/>
    </row>
    <row r="3" spans="1:15" ht="14.45" x14ac:dyDescent="0.3">
      <c r="A3" s="895" t="s">
        <v>5</v>
      </c>
      <c r="B3" s="104" t="str">
        <f>'SU A0600'!B3</f>
        <v>Suspension &amp; Shocks</v>
      </c>
      <c r="C3" s="869"/>
      <c r="D3" s="897" t="s">
        <v>8</v>
      </c>
      <c r="E3" s="869"/>
      <c r="F3" s="869"/>
      <c r="G3" s="869"/>
      <c r="H3" s="869"/>
      <c r="I3" s="869"/>
      <c r="J3" s="869"/>
      <c r="K3" s="869"/>
      <c r="L3" s="869"/>
      <c r="M3" s="896" t="s">
        <v>6</v>
      </c>
      <c r="N3" s="890">
        <v>2</v>
      </c>
      <c r="O3" s="128"/>
    </row>
    <row r="4" spans="1:15" ht="14.45" x14ac:dyDescent="0.3">
      <c r="A4" s="895" t="s">
        <v>7</v>
      </c>
      <c r="B4" s="58" t="str">
        <f>'SU A0600'!B4</f>
        <v>Front Bell Crank</v>
      </c>
      <c r="C4" s="869"/>
      <c r="D4" s="896" t="s">
        <v>10</v>
      </c>
      <c r="E4" s="869"/>
      <c r="F4" s="869"/>
      <c r="G4" s="869"/>
      <c r="H4" s="869"/>
      <c r="I4" s="869"/>
      <c r="J4" s="897" t="s">
        <v>8</v>
      </c>
      <c r="K4" s="869"/>
      <c r="L4" s="869"/>
      <c r="M4" s="869"/>
      <c r="N4" s="869"/>
      <c r="O4" s="128"/>
    </row>
    <row r="5" spans="1:15" ht="14.45" x14ac:dyDescent="0.3">
      <c r="A5" s="895" t="s">
        <v>17</v>
      </c>
      <c r="B5" s="889" t="s">
        <v>179</v>
      </c>
      <c r="C5" s="869"/>
      <c r="D5" s="896" t="s">
        <v>14</v>
      </c>
      <c r="E5" s="869"/>
      <c r="F5" s="869"/>
      <c r="G5" s="869"/>
      <c r="H5" s="869"/>
      <c r="I5" s="869"/>
      <c r="J5" s="896" t="s">
        <v>10</v>
      </c>
      <c r="K5" s="869"/>
      <c r="L5" s="869"/>
      <c r="M5" s="897" t="s">
        <v>11</v>
      </c>
      <c r="N5" s="871">
        <f>N2*N3</f>
        <v>4.5404125000000004</v>
      </c>
      <c r="O5" s="128"/>
    </row>
    <row r="6" spans="1:15" ht="14.45" x14ac:dyDescent="0.3">
      <c r="A6" s="895" t="s">
        <v>9</v>
      </c>
      <c r="B6" s="869" t="s">
        <v>398</v>
      </c>
      <c r="C6" s="869"/>
      <c r="D6" s="869"/>
      <c r="E6" s="869"/>
      <c r="F6" s="869"/>
      <c r="G6" s="869"/>
      <c r="H6" s="869"/>
      <c r="I6" s="869"/>
      <c r="J6" s="896" t="s">
        <v>14</v>
      </c>
      <c r="K6" s="869"/>
      <c r="L6" s="869"/>
      <c r="M6" s="869"/>
      <c r="N6" s="869"/>
      <c r="O6" s="128"/>
    </row>
    <row r="7" spans="1:15" ht="14.45" x14ac:dyDescent="0.3">
      <c r="A7" s="895" t="s">
        <v>12</v>
      </c>
      <c r="B7" s="104" t="s">
        <v>13</v>
      </c>
      <c r="C7" s="869"/>
      <c r="D7" s="869"/>
      <c r="E7" s="869"/>
      <c r="F7" s="869"/>
      <c r="G7" s="869"/>
      <c r="H7" s="869"/>
      <c r="I7" s="869"/>
      <c r="J7" s="869"/>
      <c r="K7" s="869"/>
      <c r="L7" s="869"/>
      <c r="M7" s="869"/>
      <c r="N7" s="869"/>
      <c r="O7" s="128"/>
    </row>
    <row r="8" spans="1:15" ht="14.45" x14ac:dyDescent="0.3">
      <c r="A8" s="895" t="s">
        <v>15</v>
      </c>
      <c r="B8" s="104"/>
      <c r="C8" s="869"/>
      <c r="D8" s="869"/>
      <c r="E8" s="869"/>
      <c r="F8" s="869"/>
      <c r="G8" s="869"/>
      <c r="H8" s="869"/>
      <c r="I8" s="869"/>
      <c r="J8" s="869"/>
      <c r="K8" s="869"/>
      <c r="L8" s="869"/>
      <c r="M8" s="869"/>
      <c r="N8" s="869"/>
      <c r="O8" s="128"/>
    </row>
    <row r="9" spans="1:15" ht="14.45" x14ac:dyDescent="0.3">
      <c r="A9" s="870"/>
      <c r="B9" s="869"/>
      <c r="C9" s="869"/>
      <c r="D9" s="869"/>
      <c r="E9" s="869"/>
      <c r="F9" s="869"/>
      <c r="G9" s="869"/>
      <c r="H9" s="869"/>
      <c r="I9" s="869"/>
      <c r="J9" s="869"/>
      <c r="K9" s="869"/>
      <c r="L9" s="869"/>
      <c r="M9" s="869"/>
      <c r="N9" s="869"/>
      <c r="O9" s="128"/>
    </row>
    <row r="10" spans="1:15" ht="14.45" x14ac:dyDescent="0.3">
      <c r="A10" s="894" t="s">
        <v>16</v>
      </c>
      <c r="B10" s="893" t="s">
        <v>38</v>
      </c>
      <c r="C10" s="893" t="s">
        <v>22</v>
      </c>
      <c r="D10" s="880" t="s">
        <v>23</v>
      </c>
      <c r="E10" s="880" t="s">
        <v>31</v>
      </c>
      <c r="F10" s="880" t="s">
        <v>32</v>
      </c>
      <c r="G10" s="880" t="s">
        <v>33</v>
      </c>
      <c r="H10" s="880" t="s">
        <v>34</v>
      </c>
      <c r="I10" s="880" t="s">
        <v>39</v>
      </c>
      <c r="J10" s="880" t="s">
        <v>40</v>
      </c>
      <c r="K10" s="880" t="s">
        <v>41</v>
      </c>
      <c r="L10" s="880" t="s">
        <v>42</v>
      </c>
      <c r="M10" s="880" t="s">
        <v>19</v>
      </c>
      <c r="N10" s="880" t="s">
        <v>20</v>
      </c>
      <c r="O10" s="128"/>
    </row>
    <row r="11" spans="1:15" ht="14.45" x14ac:dyDescent="0.3">
      <c r="A11" s="892">
        <v>10</v>
      </c>
      <c r="B11" s="258" t="s">
        <v>110</v>
      </c>
      <c r="C11" s="905" t="s">
        <v>162</v>
      </c>
      <c r="D11" s="877">
        <v>2.25</v>
      </c>
      <c r="E11" s="887">
        <f>J11*K11*L11</f>
        <v>5.1024999999999994E-2</v>
      </c>
      <c r="F11" s="878" t="s">
        <v>43</v>
      </c>
      <c r="G11" s="878"/>
      <c r="H11" s="886"/>
      <c r="I11" s="885" t="s">
        <v>397</v>
      </c>
      <c r="J11" s="885">
        <f>50*26*10^-6</f>
        <v>1.2999999999999999E-3</v>
      </c>
      <c r="K11" s="884">
        <v>5.0000000000000001E-3</v>
      </c>
      <c r="L11" s="883">
        <v>7850</v>
      </c>
      <c r="M11" s="883">
        <v>1</v>
      </c>
      <c r="N11" s="877">
        <f>D11*E11*M11</f>
        <v>0.11480624999999998</v>
      </c>
      <c r="O11" s="128"/>
    </row>
    <row r="12" spans="1:15" ht="14.45" x14ac:dyDescent="0.3">
      <c r="A12" s="876"/>
      <c r="B12" s="873"/>
      <c r="C12" s="873"/>
      <c r="D12" s="873"/>
      <c r="E12" s="873"/>
      <c r="F12" s="873"/>
      <c r="G12" s="873"/>
      <c r="H12" s="873"/>
      <c r="I12" s="873"/>
      <c r="J12" s="873"/>
      <c r="K12" s="873"/>
      <c r="L12" s="873"/>
      <c r="M12" s="875" t="s">
        <v>20</v>
      </c>
      <c r="N12" s="882">
        <f>N11</f>
        <v>0.11480624999999998</v>
      </c>
      <c r="O12" s="128"/>
    </row>
    <row r="13" spans="1:15" ht="14.45" x14ac:dyDescent="0.3">
      <c r="A13" s="870"/>
      <c r="B13" s="869"/>
      <c r="C13" s="869"/>
      <c r="D13" s="869"/>
      <c r="E13" s="869"/>
      <c r="F13" s="869"/>
      <c r="G13" s="869"/>
      <c r="H13" s="869"/>
      <c r="I13" s="869"/>
      <c r="J13" s="869"/>
      <c r="K13" s="869"/>
      <c r="L13" s="869"/>
      <c r="M13" s="869"/>
      <c r="N13" s="869"/>
      <c r="O13" s="128"/>
    </row>
    <row r="14" spans="1:15" ht="14.45" x14ac:dyDescent="0.3">
      <c r="A14" s="881" t="s">
        <v>16</v>
      </c>
      <c r="B14" s="880" t="s">
        <v>21</v>
      </c>
      <c r="C14" s="880" t="s">
        <v>22</v>
      </c>
      <c r="D14" s="880" t="s">
        <v>23</v>
      </c>
      <c r="E14" s="880" t="s">
        <v>24</v>
      </c>
      <c r="F14" s="880" t="s">
        <v>19</v>
      </c>
      <c r="G14" s="880" t="s">
        <v>25</v>
      </c>
      <c r="H14" s="880" t="s">
        <v>26</v>
      </c>
      <c r="I14" s="880" t="s">
        <v>20</v>
      </c>
      <c r="J14" s="873"/>
      <c r="K14" s="873"/>
      <c r="L14" s="873"/>
      <c r="M14" s="873"/>
      <c r="N14" s="873"/>
      <c r="O14" s="128"/>
    </row>
    <row r="15" spans="1:15" ht="14.45" x14ac:dyDescent="0.3">
      <c r="A15" s="879">
        <v>10</v>
      </c>
      <c r="B15" s="878" t="s">
        <v>390</v>
      </c>
      <c r="C15" s="878" t="s">
        <v>389</v>
      </c>
      <c r="D15" s="877">
        <v>1.3</v>
      </c>
      <c r="E15" s="878" t="s">
        <v>72</v>
      </c>
      <c r="F15" s="878">
        <v>1</v>
      </c>
      <c r="G15" s="878" t="s">
        <v>388</v>
      </c>
      <c r="H15" s="878">
        <v>0.25</v>
      </c>
      <c r="I15" s="877">
        <f>D15*F15*H15</f>
        <v>0.32500000000000001</v>
      </c>
      <c r="J15" s="869"/>
      <c r="K15" s="869"/>
      <c r="L15" s="869"/>
      <c r="M15" s="869"/>
      <c r="N15" s="869"/>
      <c r="O15" s="128"/>
    </row>
    <row r="16" spans="1:15" ht="14.45" x14ac:dyDescent="0.3">
      <c r="A16" s="879">
        <v>20</v>
      </c>
      <c r="B16" s="878" t="s">
        <v>92</v>
      </c>
      <c r="C16" s="878" t="s">
        <v>387</v>
      </c>
      <c r="D16" s="877">
        <v>0.01</v>
      </c>
      <c r="E16" s="878" t="s">
        <v>76</v>
      </c>
      <c r="F16" s="878">
        <v>16</v>
      </c>
      <c r="G16" s="878" t="s">
        <v>93</v>
      </c>
      <c r="H16" s="878">
        <v>3</v>
      </c>
      <c r="I16" s="877">
        <f>D16*F16*H16</f>
        <v>0.48</v>
      </c>
      <c r="J16" s="869"/>
      <c r="K16" s="869"/>
      <c r="L16" s="869"/>
      <c r="M16" s="869"/>
      <c r="N16" s="869"/>
      <c r="O16" s="128"/>
    </row>
    <row r="17" spans="1:15" ht="14.45" x14ac:dyDescent="0.3">
      <c r="A17" s="879">
        <v>30</v>
      </c>
      <c r="B17" s="878" t="s">
        <v>81</v>
      </c>
      <c r="C17" s="878"/>
      <c r="D17" s="877">
        <v>1.3</v>
      </c>
      <c r="E17" s="878" t="s">
        <v>72</v>
      </c>
      <c r="F17" s="878">
        <v>1</v>
      </c>
      <c r="G17" s="878"/>
      <c r="H17" s="878"/>
      <c r="I17" s="877">
        <v>1.3</v>
      </c>
      <c r="J17" s="873"/>
      <c r="K17" s="873"/>
      <c r="L17" s="873"/>
      <c r="M17" s="873"/>
      <c r="N17" s="873"/>
      <c r="O17" s="128"/>
    </row>
    <row r="18" spans="1:15" ht="14.45" x14ac:dyDescent="0.3">
      <c r="A18" s="879">
        <v>40</v>
      </c>
      <c r="B18" s="878" t="s">
        <v>100</v>
      </c>
      <c r="C18" s="878" t="s">
        <v>379</v>
      </c>
      <c r="D18" s="877">
        <v>0.04</v>
      </c>
      <c r="E18" s="878" t="s">
        <v>79</v>
      </c>
      <c r="F18" s="878">
        <v>0.42</v>
      </c>
      <c r="G18" s="878" t="s">
        <v>93</v>
      </c>
      <c r="H18" s="878">
        <v>3</v>
      </c>
      <c r="I18" s="877">
        <f>D18*F18*H18</f>
        <v>5.04E-2</v>
      </c>
      <c r="J18" s="869"/>
      <c r="K18" s="869"/>
      <c r="L18" s="869"/>
      <c r="M18" s="869"/>
      <c r="N18" s="869"/>
      <c r="O18" s="128"/>
    </row>
    <row r="19" spans="1:15" ht="14.45" x14ac:dyDescent="0.3">
      <c r="A19" s="876"/>
      <c r="B19" s="873"/>
      <c r="C19" s="873"/>
      <c r="D19" s="873"/>
      <c r="E19" s="873"/>
      <c r="F19" s="873"/>
      <c r="G19" s="873"/>
      <c r="H19" s="875" t="s">
        <v>20</v>
      </c>
      <c r="I19" s="874">
        <f>SUM(I15:I18)</f>
        <v>2.1554000000000002</v>
      </c>
      <c r="J19" s="105"/>
      <c r="K19" s="105"/>
      <c r="L19" s="105"/>
      <c r="M19" s="105"/>
      <c r="N19" s="105"/>
      <c r="O19" s="128"/>
    </row>
    <row r="20" spans="1:15" thickBot="1" x14ac:dyDescent="0.35">
      <c r="A20" s="868"/>
      <c r="B20" s="867"/>
      <c r="C20" s="867"/>
      <c r="D20" s="867"/>
      <c r="E20" s="867"/>
      <c r="F20" s="867"/>
      <c r="G20" s="867"/>
      <c r="H20" s="904"/>
      <c r="I20" s="903"/>
      <c r="J20" s="139"/>
      <c r="K20" s="139"/>
      <c r="L20" s="139"/>
      <c r="M20" s="139"/>
      <c r="N20" s="139"/>
      <c r="O20" s="140"/>
    </row>
  </sheetData>
  <hyperlinks>
    <hyperlink ref="F2" location="SU_A0600_BOM" display="Back to BOM"/>
    <hyperlink ref="B4" location="SU_A0600" display="SU_A0600"/>
  </hyperlinks>
  <pageMargins left="0.31496062992125984" right="0.31496062992125984" top="0.31496062992125984" bottom="0.39370078740157483" header="0.51181102362204722" footer="0.31496062992125984"/>
  <pageSetup paperSize="9" scale="55" fitToHeight="99" orientation="landscape" horizontalDpi="1200" verticalDpi="1200" r:id="rId1"/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2"/>
  <sheetViews>
    <sheetView topLeftCell="A2" zoomScale="70" zoomScaleNormal="70" zoomScaleSheetLayoutView="80" zoomScalePageLayoutView="70" workbookViewId="0">
      <selection activeCell="A14" sqref="A14:N14"/>
    </sheetView>
  </sheetViews>
  <sheetFormatPr baseColWidth="10" defaultColWidth="9.140625" defaultRowHeight="15" x14ac:dyDescent="0.25"/>
  <cols>
    <col min="1" max="1" width="9.140625" style="103"/>
    <col min="2" max="2" width="28" style="103" customWidth="1"/>
    <col min="3" max="3" width="46" style="103" customWidth="1"/>
    <col min="4" max="4" width="9.140625" style="103"/>
    <col min="5" max="5" width="10.28515625" style="103" customWidth="1"/>
    <col min="6" max="6" width="9.140625" style="103"/>
    <col min="7" max="7" width="7" style="103" customWidth="1"/>
    <col min="8" max="8" width="11" style="103" customWidth="1"/>
    <col min="9" max="14" width="9.140625" style="103"/>
    <col min="15" max="15" width="5.28515625" style="103" customWidth="1"/>
    <col min="16" max="16384" width="9.140625" style="103"/>
  </cols>
  <sheetData>
    <row r="1" spans="1:15" ht="14.45" x14ac:dyDescent="0.3">
      <c r="A1" s="931"/>
      <c r="B1" s="930"/>
      <c r="C1" s="930"/>
      <c r="D1" s="930"/>
      <c r="E1" s="930"/>
      <c r="F1" s="930"/>
      <c r="G1" s="930"/>
      <c r="H1" s="930"/>
      <c r="I1" s="930"/>
      <c r="J1" s="930"/>
      <c r="K1" s="930"/>
      <c r="L1" s="930"/>
      <c r="M1" s="930"/>
      <c r="N1" s="930"/>
      <c r="O1" s="929"/>
    </row>
    <row r="2" spans="1:15" ht="14.45" x14ac:dyDescent="0.3">
      <c r="A2" s="856" t="s">
        <v>0</v>
      </c>
      <c r="B2" s="104" t="s">
        <v>1</v>
      </c>
      <c r="C2" s="129"/>
      <c r="D2" s="129"/>
      <c r="E2" s="928" t="s">
        <v>2</v>
      </c>
      <c r="F2" s="129"/>
      <c r="G2" s="129"/>
      <c r="H2" s="129"/>
      <c r="I2" s="129"/>
      <c r="J2" s="306" t="s">
        <v>3</v>
      </c>
      <c r="K2" s="106">
        <v>81</v>
      </c>
      <c r="L2" s="129"/>
      <c r="M2" s="306" t="s">
        <v>4</v>
      </c>
      <c r="N2" s="59">
        <f>SU_A0700_pa+SU_A0700_m+SU_A0700_p+SU_A0700_f+SU_A0700_t</f>
        <v>210.94452558086871</v>
      </c>
      <c r="O2" s="259"/>
    </row>
    <row r="3" spans="1:15" ht="14.45" x14ac:dyDescent="0.3">
      <c r="A3" s="856" t="s">
        <v>5</v>
      </c>
      <c r="B3" s="104" t="s">
        <v>106</v>
      </c>
      <c r="C3" s="129"/>
      <c r="D3" s="129"/>
      <c r="E3" s="129"/>
      <c r="F3" s="129"/>
      <c r="G3" s="129"/>
      <c r="H3" s="129"/>
      <c r="I3" s="129"/>
      <c r="J3" s="129"/>
      <c r="K3" s="129"/>
      <c r="L3" s="129"/>
      <c r="M3" s="306" t="s">
        <v>6</v>
      </c>
      <c r="N3" s="47">
        <v>2</v>
      </c>
      <c r="O3" s="259"/>
    </row>
    <row r="4" spans="1:15" ht="14.45" x14ac:dyDescent="0.3">
      <c r="A4" s="856" t="s">
        <v>7</v>
      </c>
      <c r="B4" s="129" t="s">
        <v>408</v>
      </c>
      <c r="C4" s="129"/>
      <c r="D4" s="129"/>
      <c r="E4" s="129"/>
      <c r="F4" s="129"/>
      <c r="G4" s="129"/>
      <c r="H4" s="129"/>
      <c r="I4" s="129"/>
      <c r="J4" s="357" t="s">
        <v>8</v>
      </c>
      <c r="K4" s="129"/>
      <c r="L4" s="129"/>
      <c r="M4" s="129"/>
      <c r="N4" s="129"/>
      <c r="O4" s="259"/>
    </row>
    <row r="5" spans="1:15" ht="14.45" x14ac:dyDescent="0.3">
      <c r="A5" s="856" t="s">
        <v>9</v>
      </c>
      <c r="B5" s="108" t="s">
        <v>407</v>
      </c>
      <c r="C5" s="129"/>
      <c r="D5" s="129"/>
      <c r="E5" s="129"/>
      <c r="F5" s="129"/>
      <c r="G5" s="129"/>
      <c r="H5" s="129"/>
      <c r="I5" s="129"/>
      <c r="J5" s="357" t="s">
        <v>10</v>
      </c>
      <c r="K5" s="129"/>
      <c r="L5" s="129"/>
      <c r="M5" s="306" t="s">
        <v>11</v>
      </c>
      <c r="N5" s="46">
        <f>N2*N3</f>
        <v>421.88905116173743</v>
      </c>
      <c r="O5" s="259"/>
    </row>
    <row r="6" spans="1:15" ht="14.45" x14ac:dyDescent="0.3">
      <c r="A6" s="856" t="s">
        <v>12</v>
      </c>
      <c r="B6" s="104" t="s">
        <v>13</v>
      </c>
      <c r="C6" s="129"/>
      <c r="D6" s="129"/>
      <c r="E6" s="129"/>
      <c r="F6" s="129"/>
      <c r="G6" s="129"/>
      <c r="H6" s="129"/>
      <c r="I6" s="129"/>
      <c r="J6" s="357" t="s">
        <v>14</v>
      </c>
      <c r="K6" s="129"/>
      <c r="L6" s="129"/>
      <c r="M6" s="129"/>
      <c r="N6" s="129"/>
      <c r="O6" s="259"/>
    </row>
    <row r="7" spans="1:15" ht="14.45" x14ac:dyDescent="0.3">
      <c r="A7" s="856" t="s">
        <v>15</v>
      </c>
      <c r="B7" s="927" t="s">
        <v>406</v>
      </c>
      <c r="C7" s="129"/>
      <c r="D7" s="129"/>
      <c r="E7" s="129"/>
      <c r="F7" s="129"/>
      <c r="G7" s="129"/>
      <c r="H7" s="129"/>
      <c r="I7" s="129"/>
      <c r="J7" s="129"/>
      <c r="K7" s="129"/>
      <c r="L7" s="129"/>
      <c r="M7" s="129"/>
      <c r="N7" s="129"/>
      <c r="O7" s="259"/>
    </row>
    <row r="8" spans="1:15" ht="14.45" x14ac:dyDescent="0.3">
      <c r="A8" s="910"/>
      <c r="B8" s="129"/>
      <c r="C8" s="129"/>
      <c r="D8" s="129"/>
      <c r="E8" s="129"/>
      <c r="F8" s="129"/>
      <c r="G8" s="129"/>
      <c r="H8" s="129"/>
      <c r="I8" s="129"/>
      <c r="J8" s="129"/>
      <c r="K8" s="129"/>
      <c r="L8" s="129"/>
      <c r="M8" s="129"/>
      <c r="N8" s="129"/>
      <c r="O8" s="259"/>
    </row>
    <row r="9" spans="1:15" ht="14.45" x14ac:dyDescent="0.3">
      <c r="A9" s="863" t="s">
        <v>16</v>
      </c>
      <c r="B9" s="317" t="s">
        <v>17</v>
      </c>
      <c r="C9" s="317" t="s">
        <v>18</v>
      </c>
      <c r="D9" s="317" t="s">
        <v>19</v>
      </c>
      <c r="E9" s="317" t="s">
        <v>20</v>
      </c>
      <c r="F9" s="129"/>
      <c r="G9" s="129"/>
      <c r="H9" s="129"/>
      <c r="I9" s="129"/>
      <c r="J9" s="129"/>
      <c r="K9" s="129"/>
      <c r="L9" s="129"/>
      <c r="M9" s="129"/>
      <c r="N9" s="129"/>
      <c r="O9" s="259"/>
    </row>
    <row r="10" spans="1:15" ht="14.45" x14ac:dyDescent="0.3">
      <c r="A10" s="858">
        <v>10</v>
      </c>
      <c r="B10" s="188" t="s">
        <v>405</v>
      </c>
      <c r="C10" s="167">
        <f>'SU 07001'!N2</f>
        <v>5.9234014172552163</v>
      </c>
      <c r="D10" s="840">
        <f>SU_07001_q</f>
        <v>1</v>
      </c>
      <c r="E10" s="167">
        <f>C10*D10</f>
        <v>5.9234014172552163</v>
      </c>
      <c r="F10" s="129"/>
      <c r="G10" s="129"/>
      <c r="H10" s="129"/>
      <c r="I10" s="129"/>
      <c r="J10" s="129"/>
      <c r="K10" s="129"/>
      <c r="L10" s="129"/>
      <c r="M10" s="129"/>
      <c r="N10" s="129"/>
      <c r="O10" s="259"/>
    </row>
    <row r="11" spans="1:15" ht="14.45" x14ac:dyDescent="0.3">
      <c r="A11" s="910"/>
      <c r="B11" s="129"/>
      <c r="C11" s="129"/>
      <c r="D11" s="308" t="s">
        <v>20</v>
      </c>
      <c r="E11" s="307">
        <f>SUM(E10:E10)</f>
        <v>5.9234014172552163</v>
      </c>
      <c r="F11" s="129"/>
      <c r="G11" s="129"/>
      <c r="H11" s="129"/>
      <c r="I11" s="129"/>
      <c r="J11" s="129"/>
      <c r="K11" s="129"/>
      <c r="L11" s="129"/>
      <c r="M11" s="129"/>
      <c r="N11" s="129"/>
      <c r="O11" s="259"/>
    </row>
    <row r="12" spans="1:15" ht="14.45" x14ac:dyDescent="0.3">
      <c r="A12" s="910"/>
      <c r="B12" s="129"/>
      <c r="C12" s="129"/>
      <c r="D12" s="129"/>
      <c r="E12" s="129"/>
      <c r="F12" s="129"/>
      <c r="G12" s="129"/>
      <c r="H12" s="129"/>
      <c r="I12" s="129"/>
      <c r="J12" s="129"/>
      <c r="K12" s="129"/>
      <c r="L12" s="129"/>
      <c r="M12" s="129"/>
      <c r="N12" s="129"/>
      <c r="O12" s="259"/>
    </row>
    <row r="13" spans="1:15" ht="14.45" x14ac:dyDescent="0.3">
      <c r="A13" s="863" t="s">
        <v>16</v>
      </c>
      <c r="B13" s="317" t="s">
        <v>38</v>
      </c>
      <c r="C13" s="317" t="s">
        <v>22</v>
      </c>
      <c r="D13" s="317" t="s">
        <v>23</v>
      </c>
      <c r="E13" s="317" t="s">
        <v>31</v>
      </c>
      <c r="F13" s="317" t="s">
        <v>32</v>
      </c>
      <c r="G13" s="317" t="s">
        <v>33</v>
      </c>
      <c r="H13" s="317" t="s">
        <v>34</v>
      </c>
      <c r="I13" s="317" t="s">
        <v>39</v>
      </c>
      <c r="J13" s="317" t="s">
        <v>40</v>
      </c>
      <c r="K13" s="317" t="s">
        <v>41</v>
      </c>
      <c r="L13" s="317" t="s">
        <v>42</v>
      </c>
      <c r="M13" s="317" t="s">
        <v>19</v>
      </c>
      <c r="N13" s="317" t="s">
        <v>20</v>
      </c>
      <c r="O13" s="259"/>
    </row>
    <row r="14" spans="1:15" x14ac:dyDescent="0.25">
      <c r="A14" s="1252">
        <v>10</v>
      </c>
      <c r="B14" s="1223" t="s">
        <v>540</v>
      </c>
      <c r="C14" s="1253"/>
      <c r="D14" s="1225">
        <v>175</v>
      </c>
      <c r="E14" s="1253"/>
      <c r="F14" s="1253" t="s">
        <v>72</v>
      </c>
      <c r="G14" s="1253"/>
      <c r="H14" s="1254"/>
      <c r="I14" s="1255"/>
      <c r="J14" s="1256"/>
      <c r="K14" s="1254"/>
      <c r="L14" s="1254"/>
      <c r="M14" s="1257">
        <v>1</v>
      </c>
      <c r="N14" s="1240">
        <f>D14*M14</f>
        <v>175</v>
      </c>
      <c r="O14" s="259"/>
    </row>
    <row r="15" spans="1:15" s="113" customFormat="1" ht="14.45" x14ac:dyDescent="0.3">
      <c r="A15" s="858">
        <v>20</v>
      </c>
      <c r="B15" s="339" t="s">
        <v>125</v>
      </c>
      <c r="C15" s="839"/>
      <c r="D15" s="167">
        <v>25</v>
      </c>
      <c r="E15" s="373"/>
      <c r="F15" s="373" t="s">
        <v>72</v>
      </c>
      <c r="G15" s="373"/>
      <c r="H15" s="168"/>
      <c r="I15" s="372"/>
      <c r="J15" s="838"/>
      <c r="K15" s="170"/>
      <c r="L15" s="926"/>
      <c r="M15" s="338">
        <v>1</v>
      </c>
      <c r="N15" s="167">
        <f>D15*M15</f>
        <v>25</v>
      </c>
      <c r="O15" s="925"/>
    </row>
    <row r="16" spans="1:15" ht="14.45" x14ac:dyDescent="0.3">
      <c r="A16" s="924">
        <v>30</v>
      </c>
      <c r="B16" s="923" t="s">
        <v>355</v>
      </c>
      <c r="C16" s="922"/>
      <c r="D16" s="167">
        <v>0</v>
      </c>
      <c r="E16" s="922"/>
      <c r="F16" s="922" t="s">
        <v>72</v>
      </c>
      <c r="G16" s="922"/>
      <c r="H16" s="922"/>
      <c r="I16" s="922"/>
      <c r="J16" s="922"/>
      <c r="K16" s="922"/>
      <c r="L16" s="922"/>
      <c r="M16" s="922">
        <v>2</v>
      </c>
      <c r="N16" s="167">
        <f>D16*M16</f>
        <v>0</v>
      </c>
      <c r="O16" s="259"/>
    </row>
    <row r="17" spans="1:15" ht="14.45" x14ac:dyDescent="0.3">
      <c r="A17" s="924">
        <v>40</v>
      </c>
      <c r="B17" s="923" t="s">
        <v>75</v>
      </c>
      <c r="C17" s="922" t="s">
        <v>404</v>
      </c>
      <c r="D17" s="167">
        <v>10</v>
      </c>
      <c r="E17" s="922">
        <v>4.0000000000000001E-3</v>
      </c>
      <c r="F17" s="922" t="s">
        <v>73</v>
      </c>
      <c r="G17" s="922"/>
      <c r="H17" s="922"/>
      <c r="I17" s="922"/>
      <c r="J17" s="922"/>
      <c r="K17" s="922"/>
      <c r="L17" s="922"/>
      <c r="M17" s="922">
        <v>1</v>
      </c>
      <c r="N17" s="167">
        <f>D17*E17*M17</f>
        <v>0.04</v>
      </c>
      <c r="O17" s="259"/>
    </row>
    <row r="18" spans="1:15" ht="14.45" x14ac:dyDescent="0.3">
      <c r="A18" s="136"/>
      <c r="B18" s="115"/>
      <c r="C18" s="115"/>
      <c r="D18" s="115"/>
      <c r="E18" s="115"/>
      <c r="F18" s="115"/>
      <c r="G18" s="115"/>
      <c r="H18" s="115"/>
      <c r="I18" s="115"/>
      <c r="J18" s="115"/>
      <c r="K18" s="115"/>
      <c r="L18" s="115"/>
      <c r="M18" s="837" t="s">
        <v>20</v>
      </c>
      <c r="N18" s="307">
        <f>SUM(N14:N17)</f>
        <v>200.04</v>
      </c>
      <c r="O18" s="259"/>
    </row>
    <row r="19" spans="1:15" ht="14.45" x14ac:dyDescent="0.3">
      <c r="A19" s="910"/>
      <c r="B19" s="129"/>
      <c r="C19" s="129"/>
      <c r="D19" s="129"/>
      <c r="E19" s="129"/>
      <c r="F19" s="129"/>
      <c r="G19" s="129"/>
      <c r="H19" s="129"/>
      <c r="I19" s="129"/>
      <c r="J19" s="129"/>
      <c r="K19" s="129"/>
      <c r="L19" s="129"/>
      <c r="M19" s="129"/>
      <c r="N19" s="129"/>
      <c r="O19" s="259"/>
    </row>
    <row r="20" spans="1:15" s="124" customFormat="1" ht="14.45" x14ac:dyDescent="0.3">
      <c r="A20" s="856" t="s">
        <v>16</v>
      </c>
      <c r="B20" s="306" t="s">
        <v>21</v>
      </c>
      <c r="C20" s="306" t="s">
        <v>22</v>
      </c>
      <c r="D20" s="306" t="s">
        <v>23</v>
      </c>
      <c r="E20" s="306" t="s">
        <v>24</v>
      </c>
      <c r="F20" s="306" t="s">
        <v>19</v>
      </c>
      <c r="G20" s="306" t="s">
        <v>25</v>
      </c>
      <c r="H20" s="306" t="s">
        <v>26</v>
      </c>
      <c r="I20" s="306" t="s">
        <v>20</v>
      </c>
      <c r="J20" s="115"/>
      <c r="K20" s="115"/>
      <c r="L20" s="115"/>
      <c r="M20" s="115"/>
      <c r="N20" s="115"/>
      <c r="O20" s="913"/>
    </row>
    <row r="21" spans="1:15" s="124" customFormat="1" ht="14.45" x14ac:dyDescent="0.3">
      <c r="A21" s="921">
        <v>10</v>
      </c>
      <c r="B21" s="916" t="s">
        <v>161</v>
      </c>
      <c r="C21" s="917" t="s">
        <v>403</v>
      </c>
      <c r="D21" s="917">
        <v>0.38</v>
      </c>
      <c r="E21" s="917" t="s">
        <v>76</v>
      </c>
      <c r="F21" s="917">
        <f>2*1.7</f>
        <v>3.4</v>
      </c>
      <c r="G21" s="917"/>
      <c r="H21" s="917"/>
      <c r="I21" s="46">
        <f t="shared" ref="I21:I30" si="0">IF(H21="",D21*F21,D21*F21*H21)</f>
        <v>1.292</v>
      </c>
      <c r="J21" s="115"/>
      <c r="K21" s="115"/>
      <c r="L21" s="115"/>
      <c r="M21" s="115"/>
      <c r="N21" s="115"/>
      <c r="O21" s="913"/>
    </row>
    <row r="22" spans="1:15" s="124" customFormat="1" ht="14.45" x14ac:dyDescent="0.3">
      <c r="A22" s="920">
        <v>20</v>
      </c>
      <c r="B22" s="919" t="s">
        <v>155</v>
      </c>
      <c r="C22" s="919" t="s">
        <v>402</v>
      </c>
      <c r="D22" s="203">
        <v>5.25</v>
      </c>
      <c r="E22" s="918" t="s">
        <v>73</v>
      </c>
      <c r="F22" s="918">
        <v>4.0000000000000001E-3</v>
      </c>
      <c r="G22" s="917"/>
      <c r="H22" s="917"/>
      <c r="I22" s="46">
        <f t="shared" si="0"/>
        <v>2.1000000000000001E-2</v>
      </c>
      <c r="J22" s="115"/>
      <c r="K22" s="115"/>
      <c r="L22" s="115"/>
      <c r="M22" s="115"/>
      <c r="N22" s="115"/>
      <c r="O22" s="913"/>
    </row>
    <row r="23" spans="1:15" ht="14.45" x14ac:dyDescent="0.3">
      <c r="A23" s="133">
        <v>30</v>
      </c>
      <c r="B23" s="916" t="s">
        <v>27</v>
      </c>
      <c r="C23" s="134" t="s">
        <v>351</v>
      </c>
      <c r="D23" s="46">
        <v>0.06</v>
      </c>
      <c r="E23" s="134" t="s">
        <v>72</v>
      </c>
      <c r="F23" s="134">
        <v>2</v>
      </c>
      <c r="G23" s="134"/>
      <c r="H23" s="134"/>
      <c r="I23" s="46">
        <f t="shared" si="0"/>
        <v>0.12</v>
      </c>
      <c r="J23" s="129"/>
      <c r="K23" s="129"/>
      <c r="L23" s="129"/>
      <c r="M23" s="129"/>
      <c r="N23" s="129"/>
      <c r="O23" s="259"/>
    </row>
    <row r="24" spans="1:15" ht="14.45" x14ac:dyDescent="0.3">
      <c r="A24" s="860">
        <v>40</v>
      </c>
      <c r="B24" s="915" t="s">
        <v>350</v>
      </c>
      <c r="C24" s="236" t="s">
        <v>349</v>
      </c>
      <c r="D24" s="50">
        <v>2</v>
      </c>
      <c r="E24" s="914" t="s">
        <v>72</v>
      </c>
      <c r="F24" s="236">
        <v>2</v>
      </c>
      <c r="G24" s="236"/>
      <c r="H24" s="236"/>
      <c r="I24" s="50">
        <f t="shared" si="0"/>
        <v>4</v>
      </c>
      <c r="J24" s="129"/>
      <c r="K24" s="129"/>
      <c r="L24" s="129"/>
      <c r="M24" s="129"/>
      <c r="N24" s="129"/>
      <c r="O24" s="259"/>
    </row>
    <row r="25" spans="1:15" ht="14.45" x14ac:dyDescent="0.3">
      <c r="A25" s="858">
        <v>50</v>
      </c>
      <c r="B25" s="912" t="s">
        <v>97</v>
      </c>
      <c r="C25" s="912" t="s">
        <v>348</v>
      </c>
      <c r="D25" s="167">
        <v>0.06</v>
      </c>
      <c r="E25" s="339" t="s">
        <v>72</v>
      </c>
      <c r="F25" s="339">
        <v>2</v>
      </c>
      <c r="G25" s="339"/>
      <c r="H25" s="339"/>
      <c r="I25" s="167">
        <f t="shared" si="0"/>
        <v>0.12</v>
      </c>
      <c r="J25" s="129"/>
      <c r="K25" s="129"/>
      <c r="L25" s="129"/>
      <c r="M25" s="129"/>
      <c r="N25" s="129"/>
      <c r="O25" s="259"/>
    </row>
    <row r="26" spans="1:15" s="149" customFormat="1" ht="14.45" x14ac:dyDescent="0.3">
      <c r="A26" s="858">
        <v>60</v>
      </c>
      <c r="B26" s="912" t="s">
        <v>97</v>
      </c>
      <c r="C26" s="912" t="s">
        <v>347</v>
      </c>
      <c r="D26" s="167">
        <v>0.06</v>
      </c>
      <c r="E26" s="339" t="s">
        <v>72</v>
      </c>
      <c r="F26" s="339">
        <v>2</v>
      </c>
      <c r="G26" s="339"/>
      <c r="H26" s="339"/>
      <c r="I26" s="167">
        <f t="shared" si="0"/>
        <v>0.12</v>
      </c>
      <c r="J26" s="129"/>
      <c r="K26" s="129"/>
      <c r="L26" s="129"/>
      <c r="M26" s="129"/>
      <c r="N26" s="129"/>
      <c r="O26" s="259"/>
    </row>
    <row r="27" spans="1:15" s="124" customFormat="1" ht="14.45" x14ac:dyDescent="0.3">
      <c r="A27" s="858">
        <v>70</v>
      </c>
      <c r="B27" s="198" t="s">
        <v>101</v>
      </c>
      <c r="C27" s="912" t="s">
        <v>401</v>
      </c>
      <c r="D27" s="167">
        <v>0.12</v>
      </c>
      <c r="E27" s="339" t="s">
        <v>72</v>
      </c>
      <c r="F27" s="339">
        <v>2</v>
      </c>
      <c r="G27" s="339"/>
      <c r="H27" s="339"/>
      <c r="I27" s="167">
        <f t="shared" si="0"/>
        <v>0.24</v>
      </c>
      <c r="J27" s="129"/>
      <c r="K27" s="129"/>
      <c r="L27" s="129"/>
      <c r="M27" s="129"/>
      <c r="N27" s="129"/>
      <c r="O27" s="913"/>
    </row>
    <row r="28" spans="1:15" s="124" customFormat="1" ht="14.45" x14ac:dyDescent="0.3">
      <c r="A28" s="858">
        <v>80</v>
      </c>
      <c r="B28" s="198" t="s">
        <v>101</v>
      </c>
      <c r="C28" s="912" t="s">
        <v>142</v>
      </c>
      <c r="D28" s="167">
        <v>0.12</v>
      </c>
      <c r="E28" s="339" t="s">
        <v>72</v>
      </c>
      <c r="F28" s="339">
        <v>2</v>
      </c>
      <c r="G28" s="339"/>
      <c r="H28" s="339"/>
      <c r="I28" s="167">
        <f t="shared" si="0"/>
        <v>0.24</v>
      </c>
      <c r="J28" s="129"/>
      <c r="K28" s="129"/>
      <c r="L28" s="129"/>
      <c r="M28" s="129"/>
      <c r="N28" s="129"/>
      <c r="O28" s="913"/>
    </row>
    <row r="29" spans="1:15" s="149" customFormat="1" ht="14.45" x14ac:dyDescent="0.3">
      <c r="A29" s="858">
        <v>90</v>
      </c>
      <c r="B29" s="198" t="s">
        <v>28</v>
      </c>
      <c r="C29" s="912" t="s">
        <v>136</v>
      </c>
      <c r="D29" s="167">
        <v>0.75</v>
      </c>
      <c r="E29" s="911" t="s">
        <v>72</v>
      </c>
      <c r="F29" s="339">
        <v>2</v>
      </c>
      <c r="G29" s="339"/>
      <c r="H29" s="339"/>
      <c r="I29" s="167">
        <f t="shared" si="0"/>
        <v>1.5</v>
      </c>
      <c r="J29" s="129"/>
      <c r="K29" s="129"/>
      <c r="L29" s="129"/>
      <c r="M29" s="129"/>
      <c r="N29" s="129"/>
      <c r="O29" s="259"/>
    </row>
    <row r="30" spans="1:15" s="149" customFormat="1" ht="14.45" x14ac:dyDescent="0.3">
      <c r="A30" s="858">
        <v>100</v>
      </c>
      <c r="B30" s="198" t="s">
        <v>137</v>
      </c>
      <c r="C30" s="912" t="s">
        <v>136</v>
      </c>
      <c r="D30" s="167">
        <v>0.25</v>
      </c>
      <c r="E30" s="911" t="s">
        <v>72</v>
      </c>
      <c r="F30" s="339">
        <v>2</v>
      </c>
      <c r="G30" s="339"/>
      <c r="H30" s="339"/>
      <c r="I30" s="167">
        <f t="shared" si="0"/>
        <v>0.5</v>
      </c>
      <c r="J30" s="129"/>
      <c r="K30" s="129"/>
      <c r="L30" s="129"/>
      <c r="M30" s="129"/>
      <c r="N30" s="129"/>
      <c r="O30" s="259"/>
    </row>
    <row r="31" spans="1:15" ht="14.45" x14ac:dyDescent="0.3">
      <c r="A31" s="136"/>
      <c r="B31" s="115"/>
      <c r="C31" s="115"/>
      <c r="D31" s="115"/>
      <c r="E31" s="115"/>
      <c r="F31" s="115"/>
      <c r="G31" s="115"/>
      <c r="H31" s="308" t="s">
        <v>20</v>
      </c>
      <c r="I31" s="307">
        <f>SUM(I23:I25)</f>
        <v>4.24</v>
      </c>
      <c r="J31" s="129"/>
      <c r="K31" s="129"/>
      <c r="L31" s="129"/>
      <c r="M31" s="129"/>
      <c r="N31" s="129"/>
      <c r="O31" s="259"/>
    </row>
    <row r="32" spans="1:15" ht="14.45" x14ac:dyDescent="0.3">
      <c r="A32" s="910"/>
      <c r="B32" s="129"/>
      <c r="C32" s="129"/>
      <c r="D32" s="129"/>
      <c r="E32" s="129"/>
      <c r="F32" s="129"/>
      <c r="G32" s="129"/>
      <c r="H32" s="129"/>
      <c r="I32" s="129"/>
      <c r="J32" s="129"/>
      <c r="K32" s="129"/>
      <c r="L32" s="129"/>
      <c r="M32" s="129"/>
      <c r="N32" s="129"/>
      <c r="O32" s="259"/>
    </row>
    <row r="33" spans="1:15" ht="14.45" x14ac:dyDescent="0.3">
      <c r="A33" s="856" t="s">
        <v>16</v>
      </c>
      <c r="B33" s="306" t="s">
        <v>30</v>
      </c>
      <c r="C33" s="306" t="s">
        <v>22</v>
      </c>
      <c r="D33" s="306" t="s">
        <v>23</v>
      </c>
      <c r="E33" s="306" t="s">
        <v>31</v>
      </c>
      <c r="F33" s="306" t="s">
        <v>32</v>
      </c>
      <c r="G33" s="306" t="s">
        <v>33</v>
      </c>
      <c r="H33" s="306" t="s">
        <v>34</v>
      </c>
      <c r="I33" s="306" t="s">
        <v>19</v>
      </c>
      <c r="J33" s="306" t="s">
        <v>20</v>
      </c>
      <c r="K33" s="129"/>
      <c r="L33" s="129"/>
      <c r="M33" s="129"/>
      <c r="N33" s="129"/>
      <c r="O33" s="259"/>
    </row>
    <row r="34" spans="1:15" x14ac:dyDescent="0.25">
      <c r="A34" s="133">
        <v>10</v>
      </c>
      <c r="B34" s="134" t="s">
        <v>71</v>
      </c>
      <c r="C34" s="134" t="s">
        <v>400</v>
      </c>
      <c r="D34" s="137">
        <f>0.8/105154*E34^2*G34*SQRT(G34)+0.003*EXP(0.319*E34)</f>
        <v>0.13931812332052654</v>
      </c>
      <c r="E34" s="49">
        <v>8</v>
      </c>
      <c r="F34" s="49" t="s">
        <v>35</v>
      </c>
      <c r="G34" s="49">
        <v>35</v>
      </c>
      <c r="H34" s="49" t="s">
        <v>35</v>
      </c>
      <c r="I34" s="47">
        <v>2</v>
      </c>
      <c r="J34" s="46">
        <f>I34*D34</f>
        <v>0.27863624664105308</v>
      </c>
      <c r="K34" s="129"/>
      <c r="L34" s="129"/>
      <c r="M34" s="129"/>
      <c r="N34" s="129"/>
      <c r="O34" s="259"/>
    </row>
    <row r="35" spans="1:15" x14ac:dyDescent="0.25">
      <c r="A35" s="133">
        <v>20</v>
      </c>
      <c r="B35" s="134" t="s">
        <v>37</v>
      </c>
      <c r="C35" s="134" t="s">
        <v>400</v>
      </c>
      <c r="D35" s="137">
        <v>0.01</v>
      </c>
      <c r="E35" s="134">
        <v>8</v>
      </c>
      <c r="F35" s="48" t="s">
        <v>35</v>
      </c>
      <c r="G35" s="134"/>
      <c r="H35" s="134"/>
      <c r="I35" s="47">
        <v>4</v>
      </c>
      <c r="J35" s="46">
        <f>I35*D35</f>
        <v>0.04</v>
      </c>
      <c r="K35" s="129"/>
      <c r="L35" s="129"/>
      <c r="M35" s="129"/>
      <c r="N35" s="129"/>
      <c r="O35" s="259"/>
    </row>
    <row r="36" spans="1:15" x14ac:dyDescent="0.25">
      <c r="A36" s="133">
        <v>30</v>
      </c>
      <c r="B36" s="134" t="s">
        <v>36</v>
      </c>
      <c r="C36" s="134" t="s">
        <v>400</v>
      </c>
      <c r="D36" s="137">
        <f>0.009*EXP(0.2*E36)</f>
        <v>4.4577291819556032E-2</v>
      </c>
      <c r="E36" s="134">
        <v>8</v>
      </c>
      <c r="F36" s="48" t="s">
        <v>35</v>
      </c>
      <c r="G36" s="134"/>
      <c r="H36" s="134"/>
      <c r="I36" s="47">
        <v>2</v>
      </c>
      <c r="J36" s="46">
        <f>I36*D36</f>
        <v>8.9154583639112064E-2</v>
      </c>
      <c r="K36" s="129"/>
      <c r="L36" s="129"/>
      <c r="M36" s="129"/>
      <c r="N36" s="129"/>
      <c r="O36" s="259"/>
    </row>
    <row r="37" spans="1:15" x14ac:dyDescent="0.25">
      <c r="A37" s="136"/>
      <c r="B37" s="115"/>
      <c r="C37" s="115"/>
      <c r="D37" s="115"/>
      <c r="E37" s="115"/>
      <c r="F37" s="115"/>
      <c r="G37" s="115"/>
      <c r="H37" s="115"/>
      <c r="I37" s="319" t="s">
        <v>20</v>
      </c>
      <c r="J37" s="318">
        <f>SUM(J34:J36)</f>
        <v>0.40779083028016511</v>
      </c>
      <c r="K37" s="129"/>
      <c r="L37" s="129"/>
      <c r="M37" s="129"/>
      <c r="N37" s="129"/>
      <c r="O37" s="259"/>
    </row>
    <row r="38" spans="1:15" x14ac:dyDescent="0.25">
      <c r="A38" s="910"/>
      <c r="B38" s="129"/>
      <c r="C38" s="129"/>
      <c r="D38" s="129"/>
      <c r="E38" s="129"/>
      <c r="F38" s="129"/>
      <c r="G38" s="129"/>
      <c r="H38" s="129"/>
      <c r="I38" s="129"/>
      <c r="J38" s="129"/>
      <c r="K38" s="129"/>
      <c r="L38" s="129"/>
      <c r="M38" s="129"/>
      <c r="N38" s="129"/>
      <c r="O38" s="259"/>
    </row>
    <row r="39" spans="1:15" x14ac:dyDescent="0.25">
      <c r="A39" s="856" t="s">
        <v>16</v>
      </c>
      <c r="B39" s="306" t="s">
        <v>70</v>
      </c>
      <c r="C39" s="306" t="s">
        <v>22</v>
      </c>
      <c r="D39" s="306" t="s">
        <v>23</v>
      </c>
      <c r="E39" s="306" t="s">
        <v>24</v>
      </c>
      <c r="F39" s="306" t="s">
        <v>19</v>
      </c>
      <c r="G39" s="306" t="s">
        <v>69</v>
      </c>
      <c r="H39" s="306" t="s">
        <v>68</v>
      </c>
      <c r="I39" s="306" t="s">
        <v>20</v>
      </c>
      <c r="J39" s="115"/>
      <c r="K39" s="129"/>
      <c r="L39" s="129"/>
      <c r="M39" s="129"/>
      <c r="N39" s="129"/>
      <c r="O39" s="259"/>
    </row>
    <row r="40" spans="1:15" x14ac:dyDescent="0.25">
      <c r="A40" s="133">
        <v>10</v>
      </c>
      <c r="B40" s="134" t="s">
        <v>67</v>
      </c>
      <c r="C40" s="909" t="s">
        <v>399</v>
      </c>
      <c r="D40" s="46">
        <v>500</v>
      </c>
      <c r="E40" s="134" t="s">
        <v>66</v>
      </c>
      <c r="F40" s="134">
        <v>2</v>
      </c>
      <c r="G40" s="134">
        <v>3000</v>
      </c>
      <c r="H40" s="134">
        <v>1</v>
      </c>
      <c r="I40" s="46">
        <f>D40*F40/G40*H40</f>
        <v>0.33333333333333331</v>
      </c>
      <c r="J40" s="115"/>
      <c r="K40" s="129"/>
      <c r="L40" s="129"/>
      <c r="M40" s="129"/>
      <c r="N40" s="129"/>
      <c r="O40" s="259"/>
    </row>
    <row r="41" spans="1:15" x14ac:dyDescent="0.25">
      <c r="A41" s="136"/>
      <c r="B41" s="115"/>
      <c r="C41" s="115"/>
      <c r="D41" s="115"/>
      <c r="E41" s="115"/>
      <c r="F41" s="115"/>
      <c r="G41" s="115"/>
      <c r="H41" s="308" t="s">
        <v>20</v>
      </c>
      <c r="I41" s="307">
        <f>SUM(I40:I40)</f>
        <v>0.33333333333333331</v>
      </c>
      <c r="J41" s="115"/>
      <c r="K41" s="129"/>
      <c r="L41" s="129"/>
      <c r="M41" s="129"/>
      <c r="N41" s="129"/>
      <c r="O41" s="259"/>
    </row>
    <row r="42" spans="1:15" ht="15.75" thickBot="1" x14ac:dyDescent="0.3">
      <c r="A42" s="908"/>
      <c r="B42" s="907"/>
      <c r="C42" s="907"/>
      <c r="D42" s="907"/>
      <c r="E42" s="907"/>
      <c r="F42" s="907"/>
      <c r="G42" s="907"/>
      <c r="H42" s="907"/>
      <c r="I42" s="907"/>
      <c r="J42" s="907"/>
      <c r="K42" s="907"/>
      <c r="L42" s="907"/>
      <c r="M42" s="907"/>
      <c r="N42" s="907"/>
      <c r="O42" s="906"/>
    </row>
    <row r="43" spans="1:15" x14ac:dyDescent="0.25">
      <c r="A43" s="105"/>
      <c r="B43" s="105"/>
      <c r="C43" s="105"/>
      <c r="D43" s="105"/>
      <c r="E43" s="105"/>
      <c r="F43" s="105"/>
      <c r="G43" s="105"/>
      <c r="H43" s="105"/>
      <c r="I43" s="105"/>
      <c r="J43" s="105"/>
      <c r="K43" s="105"/>
      <c r="L43" s="105"/>
      <c r="M43" s="105"/>
      <c r="N43" s="105"/>
    </row>
    <row r="45" spans="1:15" x14ac:dyDescent="0.25">
      <c r="B45" s="105"/>
      <c r="C45" s="105"/>
      <c r="D45" s="105"/>
      <c r="E45" s="105"/>
      <c r="F45" s="105"/>
    </row>
    <row r="46" spans="1:15" x14ac:dyDescent="0.25">
      <c r="B46" s="105"/>
      <c r="C46" s="828"/>
      <c r="D46" s="828"/>
      <c r="E46" s="105"/>
      <c r="F46" s="105"/>
    </row>
    <row r="47" spans="1:15" x14ac:dyDescent="0.25">
      <c r="B47" s="105"/>
      <c r="C47" s="828"/>
      <c r="D47" s="828"/>
      <c r="E47" s="105"/>
      <c r="F47" s="105"/>
    </row>
    <row r="48" spans="1:15" x14ac:dyDescent="0.25">
      <c r="B48" s="105"/>
      <c r="C48" s="187"/>
      <c r="D48" s="828"/>
      <c r="E48" s="105"/>
      <c r="F48" s="105"/>
    </row>
    <row r="49" spans="2:6" x14ac:dyDescent="0.25">
      <c r="B49" s="105"/>
      <c r="C49" s="187"/>
      <c r="D49" s="828"/>
      <c r="E49" s="105"/>
      <c r="F49" s="105"/>
    </row>
    <row r="50" spans="2:6" x14ac:dyDescent="0.25">
      <c r="B50" s="105"/>
      <c r="C50" s="187"/>
      <c r="D50" s="828"/>
      <c r="E50" s="105"/>
      <c r="F50" s="105"/>
    </row>
    <row r="51" spans="2:6" x14ac:dyDescent="0.25">
      <c r="B51" s="105"/>
      <c r="C51" s="187"/>
      <c r="D51" s="828"/>
      <c r="E51" s="105"/>
      <c r="F51" s="105"/>
    </row>
    <row r="52" spans="2:6" x14ac:dyDescent="0.25">
      <c r="B52" s="105"/>
      <c r="C52" s="187"/>
      <c r="D52" s="828"/>
      <c r="E52" s="105"/>
      <c r="F52" s="105"/>
    </row>
  </sheetData>
  <hyperlinks>
    <hyperlink ref="B10" location="SU_07001" display="Shock Rear Bracket"/>
    <hyperlink ref="E2" location="SU_A0700_BOM" display="Back to BOM"/>
  </hyperlinks>
  <pageMargins left="0.31496062992125984" right="0.31496062992125984" top="0.31496062992125984" bottom="0.39370078740157483" header="0.51181102362204722" footer="0.31496062992125984"/>
  <pageSetup paperSize="9" scale="74" firstPageNumber="0" fitToHeight="99" orientation="landscape" horizontalDpi="1200" verticalDpi="1200" r:id="rId1"/>
  <rowBreaks count="1" manualBreakCount="1">
    <brk id="42" max="16383" man="1"/>
  </rowBreaks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zoomScalePageLayoutView="70" workbookViewId="0">
      <selection activeCell="B5" sqref="B5"/>
    </sheetView>
  </sheetViews>
  <sheetFormatPr baseColWidth="10" defaultColWidth="9.140625" defaultRowHeight="15" x14ac:dyDescent="0.25"/>
  <cols>
    <col min="1" max="1" width="9.140625" style="103"/>
    <col min="2" max="2" width="17.28515625" style="103" customWidth="1"/>
    <col min="3" max="3" width="16.85546875" style="103" customWidth="1"/>
    <col min="4" max="6" width="9.140625" style="103"/>
    <col min="7" max="7" width="13.85546875" style="103" customWidth="1"/>
    <col min="8" max="8" width="9.140625" style="103"/>
    <col min="9" max="9" width="26.28515625" style="103" customWidth="1"/>
    <col min="10" max="10" width="12" style="103" bestFit="1" customWidth="1"/>
    <col min="11" max="14" width="9.140625" style="103"/>
    <col min="15" max="15" width="3.140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77" t="s">
        <v>0</v>
      </c>
      <c r="B2" s="104" t="s">
        <v>1</v>
      </c>
      <c r="C2" s="105"/>
      <c r="D2" s="105"/>
      <c r="E2" s="105"/>
      <c r="F2" s="105"/>
      <c r="G2" s="58" t="s">
        <v>2</v>
      </c>
      <c r="H2" s="105"/>
      <c r="I2" s="105"/>
      <c r="J2" s="379" t="s">
        <v>3</v>
      </c>
      <c r="K2" s="106">
        <v>81</v>
      </c>
      <c r="L2" s="105"/>
      <c r="M2" s="377" t="s">
        <v>18</v>
      </c>
      <c r="N2" s="46">
        <f>SU_07001_m+SU_07001_p</f>
        <v>5.9234014172552163</v>
      </c>
      <c r="O2" s="107"/>
    </row>
    <row r="3" spans="1:15" ht="14.45" x14ac:dyDescent="0.3">
      <c r="A3" s="377" t="s">
        <v>5</v>
      </c>
      <c r="B3" s="104" t="str">
        <f>'SU A0700'!B3</f>
        <v>Suspension &amp; Shocks</v>
      </c>
      <c r="C3" s="105"/>
      <c r="D3" s="377" t="s">
        <v>8</v>
      </c>
      <c r="E3" s="60" t="s">
        <v>84</v>
      </c>
      <c r="F3" s="105"/>
      <c r="G3" s="105"/>
      <c r="H3" s="105"/>
      <c r="I3" s="105"/>
      <c r="J3" s="105"/>
      <c r="K3" s="105"/>
      <c r="L3" s="105"/>
      <c r="M3" s="377" t="s">
        <v>6</v>
      </c>
      <c r="N3" s="47">
        <v>1</v>
      </c>
      <c r="O3" s="107"/>
    </row>
    <row r="4" spans="1:15" ht="14.45" x14ac:dyDescent="0.3">
      <c r="A4" s="377" t="s">
        <v>7</v>
      </c>
      <c r="B4" s="58" t="str">
        <f>'SU A0700'!B4</f>
        <v>Rear suspension</v>
      </c>
      <c r="C4" s="105"/>
      <c r="D4" s="377" t="s">
        <v>10</v>
      </c>
      <c r="E4" s="105"/>
      <c r="F4" s="105"/>
      <c r="G4" s="105"/>
      <c r="H4" s="105"/>
      <c r="I4" s="105"/>
      <c r="J4" s="378" t="s">
        <v>8</v>
      </c>
      <c r="K4" s="105"/>
      <c r="L4" s="105"/>
      <c r="M4" s="105"/>
      <c r="N4" s="105"/>
      <c r="O4" s="107"/>
    </row>
    <row r="5" spans="1:15" ht="14.45" x14ac:dyDescent="0.3">
      <c r="A5" s="377" t="s">
        <v>17</v>
      </c>
      <c r="B5" s="108" t="s">
        <v>410</v>
      </c>
      <c r="C5" s="105"/>
      <c r="D5" s="377" t="s">
        <v>14</v>
      </c>
      <c r="E5" s="105"/>
      <c r="F5" s="105"/>
      <c r="G5" s="105"/>
      <c r="H5" s="105"/>
      <c r="I5" s="105"/>
      <c r="J5" s="378" t="s">
        <v>10</v>
      </c>
      <c r="K5" s="105"/>
      <c r="L5" s="105"/>
      <c r="M5" s="377" t="s">
        <v>11</v>
      </c>
      <c r="N5" s="46">
        <f>N3*N2</f>
        <v>5.9234014172552163</v>
      </c>
      <c r="O5" s="107"/>
    </row>
    <row r="6" spans="1:15" ht="14.45" x14ac:dyDescent="0.3">
      <c r="A6" s="377" t="s">
        <v>9</v>
      </c>
      <c r="B6" s="105" t="s">
        <v>409</v>
      </c>
      <c r="C6" s="105"/>
      <c r="D6" s="105"/>
      <c r="E6" s="105"/>
      <c r="F6" s="105"/>
      <c r="G6" s="105"/>
      <c r="H6" s="105"/>
      <c r="I6" s="105"/>
      <c r="J6" s="378" t="s">
        <v>14</v>
      </c>
      <c r="K6" s="105"/>
      <c r="L6" s="105"/>
      <c r="M6" s="105"/>
      <c r="N6" s="105"/>
      <c r="O6" s="107"/>
    </row>
    <row r="7" spans="1:15" ht="14.45" x14ac:dyDescent="0.3">
      <c r="A7" s="377" t="s">
        <v>12</v>
      </c>
      <c r="B7" s="104" t="s">
        <v>13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377" t="s">
        <v>15</v>
      </c>
      <c r="B8" s="104" t="s">
        <v>362</v>
      </c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110"/>
      <c r="B9" s="111"/>
      <c r="C9" s="111"/>
      <c r="D9" s="111"/>
      <c r="E9" s="111"/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76" t="s">
        <v>16</v>
      </c>
      <c r="B10" s="375" t="s">
        <v>38</v>
      </c>
      <c r="C10" s="375" t="s">
        <v>22</v>
      </c>
      <c r="D10" s="375" t="s">
        <v>23</v>
      </c>
      <c r="E10" s="375" t="s">
        <v>31</v>
      </c>
      <c r="F10" s="369" t="s">
        <v>32</v>
      </c>
      <c r="G10" s="369" t="s">
        <v>33</v>
      </c>
      <c r="H10" s="369" t="s">
        <v>34</v>
      </c>
      <c r="I10" s="369" t="s">
        <v>39</v>
      </c>
      <c r="J10" s="369" t="s">
        <v>40</v>
      </c>
      <c r="K10" s="369" t="s">
        <v>41</v>
      </c>
      <c r="L10" s="369" t="s">
        <v>42</v>
      </c>
      <c r="M10" s="369" t="s">
        <v>19</v>
      </c>
      <c r="N10" s="369" t="s">
        <v>20</v>
      </c>
      <c r="O10" s="107"/>
    </row>
    <row r="11" spans="1:15" s="113" customFormat="1" x14ac:dyDescent="0.25">
      <c r="A11" s="374">
        <v>10</v>
      </c>
      <c r="B11" s="855" t="s">
        <v>110</v>
      </c>
      <c r="C11" s="373" t="s">
        <v>162</v>
      </c>
      <c r="D11" s="167">
        <v>2.25</v>
      </c>
      <c r="E11" s="854">
        <f>J11*K11*L11</f>
        <v>0.17182285211342935</v>
      </c>
      <c r="F11" s="373" t="s">
        <v>43</v>
      </c>
      <c r="G11" s="373"/>
      <c r="H11" s="168"/>
      <c r="I11" s="372" t="s">
        <v>361</v>
      </c>
      <c r="J11" s="853">
        <f>PI()*0.0155^2</f>
        <v>7.5476763502494771E-4</v>
      </c>
      <c r="K11" s="170">
        <v>2.9000000000000001E-2</v>
      </c>
      <c r="L11" s="852">
        <v>7850</v>
      </c>
      <c r="M11" s="175">
        <v>1</v>
      </c>
      <c r="N11" s="167">
        <f>E11*D11</f>
        <v>0.38660141725521602</v>
      </c>
      <c r="O11" s="112"/>
    </row>
    <row r="12" spans="1:15" ht="14.45" x14ac:dyDescent="0.3">
      <c r="A12" s="114"/>
      <c r="B12" s="115"/>
      <c r="C12" s="115"/>
      <c r="D12" s="115"/>
      <c r="E12" s="115"/>
      <c r="F12" s="115"/>
      <c r="G12" s="115"/>
      <c r="H12" s="115"/>
      <c r="I12" s="115"/>
      <c r="J12" s="115"/>
      <c r="K12" s="115"/>
      <c r="L12" s="115"/>
      <c r="M12" s="371" t="s">
        <v>20</v>
      </c>
      <c r="N12" s="358">
        <f>SUM(N11:N11)</f>
        <v>0.38660141725521602</v>
      </c>
      <c r="O12" s="107"/>
    </row>
    <row r="13" spans="1:15" ht="14.45" x14ac:dyDescent="0.3">
      <c r="A13" s="116"/>
      <c r="B13" s="105"/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  <c r="N13" s="105"/>
      <c r="O13" s="107"/>
    </row>
    <row r="14" spans="1:15" ht="14.45" x14ac:dyDescent="0.3">
      <c r="A14" s="370" t="s">
        <v>16</v>
      </c>
      <c r="B14" s="369" t="s">
        <v>21</v>
      </c>
      <c r="C14" s="369" t="s">
        <v>22</v>
      </c>
      <c r="D14" s="369" t="s">
        <v>23</v>
      </c>
      <c r="E14" s="369" t="s">
        <v>24</v>
      </c>
      <c r="F14" s="369" t="s">
        <v>19</v>
      </c>
      <c r="G14" s="369" t="s">
        <v>25</v>
      </c>
      <c r="H14" s="369" t="s">
        <v>26</v>
      </c>
      <c r="I14" s="369" t="s">
        <v>20</v>
      </c>
      <c r="J14" s="115"/>
      <c r="K14" s="851"/>
      <c r="L14" s="115"/>
      <c r="M14" s="115"/>
      <c r="N14" s="115"/>
      <c r="O14" s="107"/>
    </row>
    <row r="15" spans="1:15" s="124" customFormat="1" ht="14.45" x14ac:dyDescent="0.3">
      <c r="A15" s="935">
        <v>10</v>
      </c>
      <c r="B15" s="176" t="s">
        <v>81</v>
      </c>
      <c r="C15" s="337" t="s">
        <v>103</v>
      </c>
      <c r="D15" s="167">
        <v>1.3</v>
      </c>
      <c r="E15" s="176" t="s">
        <v>72</v>
      </c>
      <c r="F15" s="337">
        <v>1</v>
      </c>
      <c r="G15" s="337"/>
      <c r="H15" s="337"/>
      <c r="I15" s="167">
        <f t="shared" ref="I15:I21" si="0">IF(H15="",D15*F15,D15*F15*H15)</f>
        <v>1.3</v>
      </c>
      <c r="J15" s="122"/>
      <c r="K15" s="122"/>
      <c r="L15" s="122"/>
      <c r="M15" s="122"/>
      <c r="N15" s="122"/>
      <c r="O15" s="123"/>
    </row>
    <row r="16" spans="1:15" ht="14.45" x14ac:dyDescent="0.3">
      <c r="A16" s="374">
        <v>11</v>
      </c>
      <c r="B16" s="176" t="s">
        <v>80</v>
      </c>
      <c r="C16" s="373" t="s">
        <v>359</v>
      </c>
      <c r="D16" s="167">
        <v>0.04</v>
      </c>
      <c r="E16" s="373" t="s">
        <v>79</v>
      </c>
      <c r="F16" s="933">
        <v>2.64</v>
      </c>
      <c r="G16" s="176" t="s">
        <v>167</v>
      </c>
      <c r="H16" s="337">
        <v>3</v>
      </c>
      <c r="I16" s="167">
        <f t="shared" si="0"/>
        <v>0.31680000000000003</v>
      </c>
      <c r="J16" s="105"/>
      <c r="K16" s="105"/>
      <c r="L16" s="105"/>
      <c r="M16" s="105"/>
      <c r="N16" s="105"/>
      <c r="O16" s="107"/>
    </row>
    <row r="17" spans="1:15" s="149" customFormat="1" ht="14.45" x14ac:dyDescent="0.3">
      <c r="A17" s="935">
        <v>20</v>
      </c>
      <c r="B17" s="176" t="s">
        <v>360</v>
      </c>
      <c r="C17" s="337"/>
      <c r="D17" s="167">
        <v>0.65</v>
      </c>
      <c r="E17" s="176"/>
      <c r="F17" s="337">
        <v>1</v>
      </c>
      <c r="G17" s="337"/>
      <c r="H17" s="337"/>
      <c r="I17" s="167">
        <f t="shared" si="0"/>
        <v>0.65</v>
      </c>
      <c r="J17" s="129"/>
      <c r="K17" s="129"/>
      <c r="L17" s="129"/>
      <c r="M17" s="129"/>
      <c r="N17" s="129"/>
      <c r="O17" s="148"/>
    </row>
    <row r="18" spans="1:15" ht="14.45" x14ac:dyDescent="0.3">
      <c r="A18" s="374">
        <v>21</v>
      </c>
      <c r="B18" s="176" t="s">
        <v>80</v>
      </c>
      <c r="C18" s="373" t="s">
        <v>359</v>
      </c>
      <c r="D18" s="167">
        <v>0.04</v>
      </c>
      <c r="E18" s="373" t="s">
        <v>79</v>
      </c>
      <c r="F18" s="933">
        <v>9.1999999999999993</v>
      </c>
      <c r="G18" s="176" t="s">
        <v>167</v>
      </c>
      <c r="H18" s="337">
        <v>3</v>
      </c>
      <c r="I18" s="167">
        <f t="shared" si="0"/>
        <v>1.1040000000000001</v>
      </c>
      <c r="J18" s="105"/>
      <c r="K18" s="105"/>
      <c r="L18" s="105"/>
      <c r="M18" s="105"/>
      <c r="N18" s="105"/>
      <c r="O18" s="107"/>
    </row>
    <row r="19" spans="1:15" ht="14.45" x14ac:dyDescent="0.3">
      <c r="A19" s="935">
        <v>22</v>
      </c>
      <c r="B19" s="176" t="s">
        <v>360</v>
      </c>
      <c r="C19" s="337"/>
      <c r="D19" s="167">
        <v>0.65</v>
      </c>
      <c r="E19" s="176"/>
      <c r="F19" s="337">
        <v>1</v>
      </c>
      <c r="G19" s="337"/>
      <c r="H19" s="337"/>
      <c r="I19" s="167">
        <f t="shared" si="0"/>
        <v>0.65</v>
      </c>
      <c r="J19" s="105"/>
      <c r="K19" s="105"/>
      <c r="L19" s="105"/>
      <c r="M19" s="105"/>
      <c r="N19" s="105"/>
      <c r="O19" s="107"/>
    </row>
    <row r="20" spans="1:15" ht="14.45" x14ac:dyDescent="0.3">
      <c r="A20" s="374">
        <v>23</v>
      </c>
      <c r="B20" s="176" t="s">
        <v>80</v>
      </c>
      <c r="C20" s="373" t="s">
        <v>359</v>
      </c>
      <c r="D20" s="167">
        <v>0.04</v>
      </c>
      <c r="E20" s="373" t="s">
        <v>79</v>
      </c>
      <c r="F20" s="933">
        <v>6.8</v>
      </c>
      <c r="G20" s="176" t="s">
        <v>167</v>
      </c>
      <c r="H20" s="337">
        <v>3</v>
      </c>
      <c r="I20" s="167">
        <f t="shared" si="0"/>
        <v>0.81600000000000006</v>
      </c>
      <c r="J20" s="105"/>
      <c r="K20" s="105"/>
      <c r="L20" s="105"/>
      <c r="M20" s="105"/>
      <c r="N20" s="105"/>
      <c r="O20" s="107"/>
    </row>
    <row r="21" spans="1:15" ht="14.45" x14ac:dyDescent="0.3">
      <c r="A21" s="373">
        <v>30</v>
      </c>
      <c r="B21" s="934" t="s">
        <v>45</v>
      </c>
      <c r="C21" s="373" t="s">
        <v>359</v>
      </c>
      <c r="D21" s="167">
        <v>0.35</v>
      </c>
      <c r="E21" s="373" t="s">
        <v>82</v>
      </c>
      <c r="F21" s="933">
        <v>2</v>
      </c>
      <c r="G21" s="176"/>
      <c r="H21" s="932"/>
      <c r="I21" s="261">
        <f t="shared" si="0"/>
        <v>0.7</v>
      </c>
      <c r="J21" s="105"/>
      <c r="K21" s="105"/>
      <c r="L21" s="105"/>
      <c r="M21" s="105"/>
      <c r="N21" s="105"/>
      <c r="O21" s="107"/>
    </row>
    <row r="22" spans="1:15" ht="14.45" x14ac:dyDescent="0.3">
      <c r="A22" s="114"/>
      <c r="B22" s="115"/>
      <c r="C22" s="115"/>
      <c r="D22" s="115"/>
      <c r="E22" s="115"/>
      <c r="F22" s="115"/>
      <c r="G22" s="115"/>
      <c r="H22" s="359" t="s">
        <v>20</v>
      </c>
      <c r="I22" s="358">
        <f>SUM(I15:I21)</f>
        <v>5.5368000000000004</v>
      </c>
      <c r="J22" s="115"/>
      <c r="K22" s="115"/>
      <c r="L22" s="115"/>
      <c r="M22" s="115"/>
      <c r="N22" s="115"/>
      <c r="O22" s="107"/>
    </row>
    <row r="23" spans="1:15" thickBot="1" x14ac:dyDescent="0.35">
      <c r="A23" s="118"/>
      <c r="B23" s="119"/>
      <c r="C23" s="119"/>
      <c r="D23" s="119"/>
      <c r="E23" s="119"/>
      <c r="F23" s="119"/>
      <c r="G23" s="119"/>
      <c r="H23" s="119"/>
      <c r="I23" s="119"/>
      <c r="J23" s="119"/>
      <c r="K23" s="119"/>
      <c r="L23" s="119"/>
      <c r="M23" s="119"/>
      <c r="N23" s="119"/>
      <c r="O23" s="120"/>
    </row>
  </sheetData>
  <hyperlinks>
    <hyperlink ref="B4" location="SU_A0700" display="SU_A0700"/>
    <hyperlink ref="E3" location="dSU_07001" display="Drawing"/>
    <hyperlink ref="B6" location="SU_A0500" display="SU 510_001"/>
    <hyperlink ref="G2" location="SU_A0700_BOM" display="Back to BOM"/>
  </hyperlinks>
  <pageMargins left="0.31496062992125984" right="0.31496062992125984" top="0.31496062992125984" bottom="0.39370078740157483" header="0.51181102362204722" footer="0.31496062992125984"/>
  <pageSetup paperSize="9" scale="83" firstPageNumber="0" fitToHeight="99" orientation="landscape" horizontalDpi="1200" verticalDpi="1200" r:id="rId1"/>
  <rowBreaks count="2" manualBreakCount="2">
    <brk id="23" max="16383" man="1"/>
    <brk id="57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4" style="103" customWidth="1"/>
    <col min="2" max="16384" width="11.5703125" style="103"/>
  </cols>
  <sheetData>
    <row r="1" spans="1:2" x14ac:dyDescent="0.3">
      <c r="A1" s="103" t="s">
        <v>88</v>
      </c>
      <c r="B1" s="60" t="s">
        <v>411</v>
      </c>
    </row>
  </sheetData>
  <hyperlinks>
    <hyperlink ref="B1" location="SU_07001" display="SU_07001"/>
  </hyperlinks>
  <pageMargins left="0.31496062992125984" right="0.31496062992125984" top="0.31496062992125984" bottom="0.39370078740157483" header="0.51181102362204722" footer="0.31496062992125984"/>
  <pageSetup paperSize="9" fitToHeight="99" orientation="landscape" horizontalDpi="1200" verticalDpi="1200" r:id="rId1"/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3"/>
  <sheetViews>
    <sheetView zoomScale="75" zoomScaleNormal="75" zoomScaleSheetLayoutView="80" zoomScalePageLayoutView="70" workbookViewId="0">
      <selection activeCell="J15" sqref="J15"/>
    </sheetView>
  </sheetViews>
  <sheetFormatPr baseColWidth="10" defaultColWidth="9.140625" defaultRowHeight="15" x14ac:dyDescent="0.25"/>
  <cols>
    <col min="1" max="1" width="9.140625" style="103"/>
    <col min="2" max="2" width="35.28515625" style="103" customWidth="1"/>
    <col min="3" max="3" width="45.85546875" style="103" customWidth="1"/>
    <col min="4" max="14" width="9.140625" style="103"/>
    <col min="15" max="15" width="5.28515625" style="103" customWidth="1"/>
    <col min="16" max="16384" width="9.140625" style="103"/>
  </cols>
  <sheetData>
    <row r="1" spans="1:15" ht="14.45" x14ac:dyDescent="0.3">
      <c r="A1" s="100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2"/>
    </row>
    <row r="2" spans="1:15" ht="14.45" x14ac:dyDescent="0.3">
      <c r="A2" s="306" t="s">
        <v>0</v>
      </c>
      <c r="B2" s="104" t="s">
        <v>1</v>
      </c>
      <c r="C2" s="105"/>
      <c r="D2" s="105"/>
      <c r="E2" s="58" t="s">
        <v>2</v>
      </c>
      <c r="F2" s="105"/>
      <c r="G2" s="105"/>
      <c r="H2" s="105"/>
      <c r="I2" s="105"/>
      <c r="J2" s="306" t="s">
        <v>3</v>
      </c>
      <c r="K2" s="106">
        <v>81</v>
      </c>
      <c r="L2" s="105"/>
      <c r="M2" s="306" t="s">
        <v>4</v>
      </c>
      <c r="N2" s="59">
        <f>SU_A0800_pa+SU_A0800_m+SU_A0800_p+SU_A0800_f+SU_A0800_t</f>
        <v>15.066700055803517</v>
      </c>
      <c r="O2" s="107"/>
    </row>
    <row r="3" spans="1:15" ht="14.45" x14ac:dyDescent="0.3">
      <c r="A3" s="306" t="s">
        <v>5</v>
      </c>
      <c r="B3" s="104" t="s">
        <v>106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306" t="s">
        <v>6</v>
      </c>
      <c r="N3" s="47">
        <v>2</v>
      </c>
      <c r="O3" s="107"/>
    </row>
    <row r="4" spans="1:15" ht="14.45" x14ac:dyDescent="0.3">
      <c r="A4" s="306" t="s">
        <v>7</v>
      </c>
      <c r="B4" s="129" t="s">
        <v>416</v>
      </c>
      <c r="C4" s="864"/>
      <c r="D4" s="105"/>
      <c r="E4" s="105"/>
      <c r="F4" s="105"/>
      <c r="G4" s="105"/>
      <c r="H4" s="105"/>
      <c r="I4" s="105"/>
      <c r="J4" s="357" t="s">
        <v>8</v>
      </c>
      <c r="K4" s="105"/>
      <c r="L4" s="105"/>
      <c r="M4" s="105"/>
      <c r="N4" s="105"/>
      <c r="O4" s="107"/>
    </row>
    <row r="5" spans="1:15" ht="14.45" x14ac:dyDescent="0.3">
      <c r="A5" s="306" t="s">
        <v>9</v>
      </c>
      <c r="B5" s="108" t="s">
        <v>415</v>
      </c>
      <c r="C5" s="105"/>
      <c r="D5" s="105"/>
      <c r="E5" s="105"/>
      <c r="F5" s="105"/>
      <c r="G5" s="105"/>
      <c r="H5" s="105"/>
      <c r="I5" s="105"/>
      <c r="J5" s="357" t="s">
        <v>10</v>
      </c>
      <c r="K5" s="105"/>
      <c r="L5" s="105"/>
      <c r="M5" s="306" t="s">
        <v>11</v>
      </c>
      <c r="N5" s="46">
        <f>N2*SU_A0800_q</f>
        <v>30.133400111607035</v>
      </c>
      <c r="O5" s="107"/>
    </row>
    <row r="6" spans="1:15" ht="14.45" x14ac:dyDescent="0.3">
      <c r="A6" s="306" t="s">
        <v>12</v>
      </c>
      <c r="B6" s="104" t="s">
        <v>13</v>
      </c>
      <c r="C6" s="105"/>
      <c r="D6" s="105"/>
      <c r="E6" s="105"/>
      <c r="F6" s="105"/>
      <c r="G6" s="105"/>
      <c r="H6" s="105"/>
      <c r="I6" s="105"/>
      <c r="J6" s="357" t="s">
        <v>14</v>
      </c>
      <c r="K6" s="105"/>
      <c r="L6" s="105"/>
      <c r="M6" s="105"/>
      <c r="N6" s="105"/>
      <c r="O6" s="107"/>
    </row>
    <row r="7" spans="1:15" ht="14.45" x14ac:dyDescent="0.3">
      <c r="A7" s="306" t="s">
        <v>15</v>
      </c>
      <c r="B7" s="104" t="s">
        <v>414</v>
      </c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  <c r="N7" s="105"/>
      <c r="O7" s="107"/>
    </row>
    <row r="8" spans="1:15" ht="14.45" x14ac:dyDescent="0.3">
      <c r="A8" s="116"/>
      <c r="B8" s="105"/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/>
      <c r="O8" s="107"/>
    </row>
    <row r="9" spans="1:15" ht="14.45" x14ac:dyDescent="0.3">
      <c r="A9" s="317" t="s">
        <v>16</v>
      </c>
      <c r="B9" s="317" t="s">
        <v>17</v>
      </c>
      <c r="C9" s="317" t="s">
        <v>18</v>
      </c>
      <c r="D9" s="317" t="s">
        <v>19</v>
      </c>
      <c r="E9" s="317" t="s">
        <v>20</v>
      </c>
      <c r="F9" s="105"/>
      <c r="G9" s="105"/>
      <c r="H9" s="105"/>
      <c r="I9" s="105"/>
      <c r="J9" s="105"/>
      <c r="K9" s="105"/>
      <c r="L9" s="105"/>
      <c r="M9" s="105"/>
      <c r="N9" s="105"/>
      <c r="O9" s="107"/>
    </row>
    <row r="10" spans="1:15" ht="14.45" x14ac:dyDescent="0.3">
      <c r="A10" s="339">
        <v>10</v>
      </c>
      <c r="B10" s="188" t="s">
        <v>177</v>
      </c>
      <c r="C10" s="167">
        <f>'SU 08001'!N2</f>
        <v>1.3710986506763019</v>
      </c>
      <c r="D10" s="939">
        <f>SU_08001_q</f>
        <v>2</v>
      </c>
      <c r="E10" s="167">
        <f>C10*D10</f>
        <v>2.7421973013526038</v>
      </c>
      <c r="F10" s="105"/>
      <c r="G10" s="105"/>
      <c r="H10" s="105"/>
      <c r="I10" s="105"/>
      <c r="J10" s="105"/>
      <c r="K10" s="105"/>
      <c r="L10" s="105"/>
      <c r="M10" s="105"/>
      <c r="N10" s="105"/>
      <c r="O10" s="107"/>
    </row>
    <row r="11" spans="1:15" ht="14.45" x14ac:dyDescent="0.3">
      <c r="A11" s="339">
        <v>20</v>
      </c>
      <c r="B11" s="862" t="s">
        <v>176</v>
      </c>
      <c r="C11" s="167">
        <f>'SU 08002'!N2</f>
        <v>2.0644187499999997</v>
      </c>
      <c r="D11" s="939">
        <f>SU_08002_q</f>
        <v>2</v>
      </c>
      <c r="E11" s="167">
        <f>C11*D11</f>
        <v>4.1288374999999995</v>
      </c>
      <c r="F11" s="129"/>
      <c r="G11" s="129"/>
      <c r="H11" s="129"/>
      <c r="I11" s="129"/>
      <c r="J11" s="129"/>
      <c r="K11" s="129"/>
      <c r="L11" s="129"/>
      <c r="M11" s="129"/>
      <c r="N11" s="129"/>
      <c r="O11" s="55"/>
    </row>
    <row r="12" spans="1:15" ht="14.45" x14ac:dyDescent="0.3">
      <c r="A12" s="940">
        <v>30</v>
      </c>
      <c r="B12" s="188" t="s">
        <v>175</v>
      </c>
      <c r="C12" s="167">
        <f>'SU 08003'!N2</f>
        <v>3.3779399999999997</v>
      </c>
      <c r="D12" s="939">
        <f>SU_08003_q</f>
        <v>1</v>
      </c>
      <c r="E12" s="167">
        <f>C12*D12</f>
        <v>3.3779399999999997</v>
      </c>
    </row>
    <row r="13" spans="1:15" ht="14.45" x14ac:dyDescent="0.3">
      <c r="A13" s="116"/>
      <c r="B13" s="105"/>
      <c r="C13" s="105"/>
      <c r="D13" s="308" t="s">
        <v>20</v>
      </c>
      <c r="E13" s="307">
        <f>SUM(E10:E12)</f>
        <v>10.248974801352603</v>
      </c>
      <c r="F13" s="129"/>
      <c r="G13" s="129"/>
      <c r="H13" s="129"/>
      <c r="I13" s="129"/>
      <c r="J13" s="129"/>
      <c r="K13" s="129"/>
      <c r="L13" s="129"/>
      <c r="M13" s="129"/>
      <c r="N13" s="129"/>
      <c r="O13" s="107"/>
    </row>
    <row r="14" spans="1:15" ht="14.45" x14ac:dyDescent="0.3">
      <c r="A14" s="116"/>
      <c r="B14" s="105"/>
      <c r="C14" s="105"/>
      <c r="D14" s="105"/>
      <c r="E14" s="105"/>
      <c r="F14" s="105"/>
      <c r="G14" s="105"/>
      <c r="H14" s="105"/>
      <c r="I14" s="105"/>
      <c r="J14" s="105"/>
      <c r="K14" s="105"/>
      <c r="L14" s="105"/>
      <c r="M14" s="105"/>
      <c r="N14" s="105"/>
      <c r="O14" s="107"/>
    </row>
    <row r="15" spans="1:15" ht="14.45" x14ac:dyDescent="0.3">
      <c r="A15" s="306" t="s">
        <v>16</v>
      </c>
      <c r="B15" s="306" t="s">
        <v>38</v>
      </c>
      <c r="C15" s="306" t="s">
        <v>22</v>
      </c>
      <c r="D15" s="306" t="s">
        <v>23</v>
      </c>
      <c r="E15" s="306" t="s">
        <v>31</v>
      </c>
      <c r="F15" s="306" t="s">
        <v>32</v>
      </c>
      <c r="G15" s="306" t="s">
        <v>33</v>
      </c>
      <c r="H15" s="306" t="s">
        <v>34</v>
      </c>
      <c r="I15" s="306" t="s">
        <v>39</v>
      </c>
      <c r="J15" s="306" t="s">
        <v>40</v>
      </c>
      <c r="K15" s="306" t="s">
        <v>41</v>
      </c>
      <c r="L15" s="306" t="s">
        <v>42</v>
      </c>
      <c r="M15" s="306" t="s">
        <v>19</v>
      </c>
      <c r="N15" s="306" t="s">
        <v>20</v>
      </c>
      <c r="O15" s="107"/>
    </row>
    <row r="16" spans="1:15" ht="14.45" x14ac:dyDescent="0.3">
      <c r="A16" s="134">
        <v>10</v>
      </c>
      <c r="B16" s="134" t="s">
        <v>75</v>
      </c>
      <c r="C16" s="134" t="s">
        <v>375</v>
      </c>
      <c r="D16" s="46">
        <v>10</v>
      </c>
      <c r="E16" s="134">
        <v>5.0000000000000001E-3</v>
      </c>
      <c r="F16" s="134" t="s">
        <v>73</v>
      </c>
      <c r="G16" s="134"/>
      <c r="H16" s="53"/>
      <c r="I16" s="143"/>
      <c r="J16" s="54"/>
      <c r="K16" s="53"/>
      <c r="L16" s="53"/>
      <c r="M16" s="938">
        <v>2</v>
      </c>
      <c r="N16" s="46">
        <f>M16*D16*E16</f>
        <v>0.1</v>
      </c>
      <c r="O16" s="107"/>
    </row>
    <row r="17" spans="1:15" s="113" customFormat="1" ht="14.45" x14ac:dyDescent="0.3">
      <c r="A17" s="134">
        <v>20</v>
      </c>
      <c r="B17" s="134" t="s">
        <v>75</v>
      </c>
      <c r="C17" s="151" t="s">
        <v>374</v>
      </c>
      <c r="D17" s="46">
        <v>10</v>
      </c>
      <c r="E17" s="145">
        <v>5.0000000000000001E-3</v>
      </c>
      <c r="F17" s="145" t="s">
        <v>73</v>
      </c>
      <c r="G17" s="145"/>
      <c r="H17" s="53"/>
      <c r="I17" s="146"/>
      <c r="J17" s="69"/>
      <c r="K17" s="68"/>
      <c r="L17" s="147"/>
      <c r="M17" s="938">
        <v>2</v>
      </c>
      <c r="N17" s="46">
        <f>M17*D17*E17</f>
        <v>0.1</v>
      </c>
      <c r="O17" s="112"/>
    </row>
    <row r="18" spans="1:15" ht="14.45" x14ac:dyDescent="0.3">
      <c r="A18" s="114"/>
      <c r="B18" s="115"/>
      <c r="C18" s="115"/>
      <c r="D18" s="115"/>
      <c r="E18" s="115"/>
      <c r="F18" s="115"/>
      <c r="G18" s="115"/>
      <c r="H18" s="115"/>
      <c r="I18" s="115"/>
      <c r="J18" s="115"/>
      <c r="K18" s="115"/>
      <c r="L18" s="115"/>
      <c r="M18" s="306" t="s">
        <v>20</v>
      </c>
      <c r="N18" s="318">
        <f>SUM(N16:N17)</f>
        <v>0.2</v>
      </c>
      <c r="O18" s="107"/>
    </row>
    <row r="19" spans="1:15" ht="14.45" x14ac:dyDescent="0.3">
      <c r="A19" s="116"/>
      <c r="B19" s="105"/>
      <c r="C19" s="105"/>
      <c r="D19" s="105"/>
      <c r="E19" s="105"/>
      <c r="F19" s="105"/>
      <c r="G19" s="105"/>
      <c r="H19" s="105"/>
      <c r="I19" s="105"/>
      <c r="J19" s="105"/>
      <c r="K19" s="105"/>
      <c r="L19" s="105"/>
      <c r="M19" s="105"/>
      <c r="N19" s="105"/>
      <c r="O19" s="107"/>
    </row>
    <row r="20" spans="1:15" s="124" customFormat="1" ht="14.45" x14ac:dyDescent="0.3">
      <c r="A20" s="306" t="s">
        <v>16</v>
      </c>
      <c r="B20" s="306" t="s">
        <v>21</v>
      </c>
      <c r="C20" s="306" t="s">
        <v>22</v>
      </c>
      <c r="D20" s="306" t="s">
        <v>23</v>
      </c>
      <c r="E20" s="306" t="s">
        <v>24</v>
      </c>
      <c r="F20" s="306" t="s">
        <v>19</v>
      </c>
      <c r="G20" s="306" t="s">
        <v>25</v>
      </c>
      <c r="H20" s="306" t="s">
        <v>26</v>
      </c>
      <c r="I20" s="306" t="s">
        <v>20</v>
      </c>
      <c r="J20" s="115"/>
      <c r="K20" s="115"/>
      <c r="L20" s="115"/>
      <c r="M20" s="115"/>
      <c r="N20" s="115"/>
      <c r="O20" s="123"/>
    </row>
    <row r="21" spans="1:15" ht="14.45" x14ac:dyDescent="0.3">
      <c r="A21" s="134">
        <v>10</v>
      </c>
      <c r="B21" s="134" t="s">
        <v>86</v>
      </c>
      <c r="C21" s="134" t="s">
        <v>373</v>
      </c>
      <c r="D21" s="46">
        <v>0.15</v>
      </c>
      <c r="E21" s="134" t="s">
        <v>76</v>
      </c>
      <c r="F21" s="135">
        <f>11.5*2</f>
        <v>23</v>
      </c>
      <c r="G21" s="135"/>
      <c r="H21" s="135"/>
      <c r="I21" s="46">
        <f t="shared" ref="I21:I30" si="0">IF(H21="",D21*F21,D21*F21*H21)</f>
        <v>3.4499999999999997</v>
      </c>
      <c r="J21" s="105"/>
      <c r="K21" s="105"/>
      <c r="L21" s="105"/>
      <c r="M21" s="105"/>
      <c r="N21" s="105"/>
      <c r="O21" s="107"/>
    </row>
    <row r="22" spans="1:15" ht="14.45" x14ac:dyDescent="0.3">
      <c r="A22" s="134">
        <v>20</v>
      </c>
      <c r="B22" s="52" t="s">
        <v>155</v>
      </c>
      <c r="C22" s="134" t="s">
        <v>372</v>
      </c>
      <c r="D22" s="46">
        <v>5.25</v>
      </c>
      <c r="E22" s="52" t="s">
        <v>73</v>
      </c>
      <c r="F22" s="135">
        <v>5.0000000000000001E-3</v>
      </c>
      <c r="G22" s="134"/>
      <c r="H22" s="134"/>
      <c r="I22" s="46">
        <f t="shared" si="0"/>
        <v>2.6249999999999999E-2</v>
      </c>
      <c r="J22" s="105"/>
      <c r="K22" s="105"/>
      <c r="L22" s="105"/>
      <c r="M22" s="105"/>
      <c r="N22" s="105"/>
      <c r="O22" s="107"/>
    </row>
    <row r="23" spans="1:15" ht="14.45" x14ac:dyDescent="0.3">
      <c r="A23" s="134">
        <v>30</v>
      </c>
      <c r="B23" s="52" t="s">
        <v>155</v>
      </c>
      <c r="C23" s="134" t="s">
        <v>371</v>
      </c>
      <c r="D23" s="46">
        <v>5.25</v>
      </c>
      <c r="E23" s="134" t="s">
        <v>73</v>
      </c>
      <c r="F23" s="135">
        <v>5.0000000000000001E-3</v>
      </c>
      <c r="G23" s="134"/>
      <c r="H23" s="134"/>
      <c r="I23" s="46">
        <f t="shared" si="0"/>
        <v>2.6249999999999999E-2</v>
      </c>
      <c r="J23" s="105"/>
      <c r="K23" s="105"/>
      <c r="L23" s="105"/>
      <c r="M23" s="105"/>
      <c r="N23" s="105"/>
      <c r="O23" s="107"/>
    </row>
    <row r="24" spans="1:15" s="149" customFormat="1" ht="14.45" x14ac:dyDescent="0.3">
      <c r="A24" s="134">
        <v>40</v>
      </c>
      <c r="B24" s="52" t="s">
        <v>197</v>
      </c>
      <c r="C24" s="134" t="s">
        <v>413</v>
      </c>
      <c r="D24" s="46">
        <v>0.06</v>
      </c>
      <c r="E24" s="134" t="s">
        <v>72</v>
      </c>
      <c r="F24" s="135">
        <v>2</v>
      </c>
      <c r="G24" s="134"/>
      <c r="H24" s="134"/>
      <c r="I24" s="46">
        <f t="shared" si="0"/>
        <v>0.12</v>
      </c>
      <c r="J24" s="129"/>
      <c r="K24" s="129"/>
      <c r="L24" s="129"/>
      <c r="M24" s="129"/>
      <c r="N24" s="129"/>
      <c r="O24" s="148"/>
    </row>
    <row r="25" spans="1:15" s="124" customFormat="1" ht="14.45" x14ac:dyDescent="0.3">
      <c r="A25" s="134">
        <v>50</v>
      </c>
      <c r="B25" s="52" t="s">
        <v>197</v>
      </c>
      <c r="C25" s="134" t="s">
        <v>412</v>
      </c>
      <c r="D25" s="46">
        <v>0.06</v>
      </c>
      <c r="E25" s="134" t="s">
        <v>72</v>
      </c>
      <c r="F25" s="135">
        <v>2</v>
      </c>
      <c r="G25" s="135"/>
      <c r="H25" s="135"/>
      <c r="I25" s="46">
        <f t="shared" si="0"/>
        <v>0.12</v>
      </c>
      <c r="J25" s="129"/>
      <c r="K25" s="129"/>
      <c r="L25" s="129"/>
      <c r="M25" s="129"/>
      <c r="N25" s="129"/>
      <c r="O25" s="123"/>
    </row>
    <row r="26" spans="1:15" s="149" customFormat="1" ht="14.45" customHeight="1" x14ac:dyDescent="0.3">
      <c r="A26" s="236">
        <v>60</v>
      </c>
      <c r="B26" s="51" t="s">
        <v>197</v>
      </c>
      <c r="C26" s="51" t="s">
        <v>139</v>
      </c>
      <c r="D26" s="46">
        <v>0.06</v>
      </c>
      <c r="E26" s="51" t="s">
        <v>72</v>
      </c>
      <c r="F26" s="859">
        <v>2</v>
      </c>
      <c r="G26" s="236"/>
      <c r="H26" s="134"/>
      <c r="I26" s="46">
        <f t="shared" si="0"/>
        <v>0.12</v>
      </c>
      <c r="J26" s="129"/>
      <c r="K26" s="129"/>
      <c r="L26" s="129"/>
      <c r="M26" s="129"/>
      <c r="N26" s="129"/>
      <c r="O26" s="148"/>
    </row>
    <row r="27" spans="1:15" s="149" customFormat="1" ht="14.45" customHeight="1" x14ac:dyDescent="0.3">
      <c r="A27" s="339">
        <v>70</v>
      </c>
      <c r="B27" s="180" t="s">
        <v>101</v>
      </c>
      <c r="C27" s="937" t="s">
        <v>368</v>
      </c>
      <c r="D27" s="167">
        <v>0.12</v>
      </c>
      <c r="E27" s="172" t="s">
        <v>72</v>
      </c>
      <c r="F27" s="262">
        <v>1</v>
      </c>
      <c r="G27" s="339"/>
      <c r="H27" s="240"/>
      <c r="I27" s="46">
        <f t="shared" si="0"/>
        <v>0.12</v>
      </c>
      <c r="J27" s="129"/>
      <c r="K27" s="129"/>
      <c r="L27" s="129"/>
      <c r="M27" s="129"/>
      <c r="N27" s="129"/>
      <c r="O27" s="148"/>
    </row>
    <row r="28" spans="1:15" s="149" customFormat="1" ht="14.45" customHeight="1" x14ac:dyDescent="0.3">
      <c r="A28" s="339">
        <v>80</v>
      </c>
      <c r="B28" s="180" t="s">
        <v>101</v>
      </c>
      <c r="C28" s="936" t="s">
        <v>367</v>
      </c>
      <c r="D28" s="167">
        <v>0.12</v>
      </c>
      <c r="E28" s="172" t="s">
        <v>72</v>
      </c>
      <c r="F28" s="262">
        <v>1</v>
      </c>
      <c r="G28" s="339"/>
      <c r="H28" s="240"/>
      <c r="I28" s="46">
        <f t="shared" si="0"/>
        <v>0.12</v>
      </c>
      <c r="J28" s="129"/>
      <c r="K28" s="129"/>
      <c r="L28" s="129"/>
      <c r="M28" s="129"/>
      <c r="N28" s="129"/>
      <c r="O28" s="148"/>
    </row>
    <row r="29" spans="1:15" s="149" customFormat="1" ht="14.45" customHeight="1" x14ac:dyDescent="0.3">
      <c r="A29" s="339">
        <v>90</v>
      </c>
      <c r="B29" s="180" t="s">
        <v>28</v>
      </c>
      <c r="C29" s="936" t="s">
        <v>136</v>
      </c>
      <c r="D29" s="167">
        <v>0.75</v>
      </c>
      <c r="E29" s="172" t="s">
        <v>72</v>
      </c>
      <c r="F29" s="262">
        <v>1</v>
      </c>
      <c r="G29" s="339"/>
      <c r="H29" s="240"/>
      <c r="I29" s="46">
        <f t="shared" si="0"/>
        <v>0.75</v>
      </c>
      <c r="J29" s="129"/>
      <c r="K29" s="129"/>
      <c r="L29" s="129"/>
      <c r="M29" s="129"/>
      <c r="N29" s="129"/>
      <c r="O29" s="148"/>
    </row>
    <row r="30" spans="1:15" s="149" customFormat="1" ht="14.45" customHeight="1" x14ac:dyDescent="0.3">
      <c r="A30" s="339">
        <v>100</v>
      </c>
      <c r="B30" s="180" t="s">
        <v>137</v>
      </c>
      <c r="C30" s="936" t="s">
        <v>136</v>
      </c>
      <c r="D30" s="167">
        <v>0.25</v>
      </c>
      <c r="E30" s="172" t="s">
        <v>72</v>
      </c>
      <c r="F30" s="262">
        <v>1</v>
      </c>
      <c r="G30" s="339"/>
      <c r="H30" s="240"/>
      <c r="I30" s="46">
        <f t="shared" si="0"/>
        <v>0.25</v>
      </c>
      <c r="J30" s="129"/>
      <c r="K30" s="129"/>
      <c r="L30" s="129"/>
      <c r="M30" s="129"/>
      <c r="N30" s="129"/>
      <c r="O30" s="148"/>
    </row>
    <row r="31" spans="1:15" ht="14.45" x14ac:dyDescent="0.3">
      <c r="A31" s="114"/>
      <c r="B31" s="115"/>
      <c r="C31" s="115"/>
      <c r="D31" s="115"/>
      <c r="E31" s="115"/>
      <c r="F31" s="115"/>
      <c r="G31" s="115"/>
      <c r="H31" s="319" t="s">
        <v>20</v>
      </c>
      <c r="I31" s="318">
        <f>SUM(I21:I23)</f>
        <v>3.5024999999999999</v>
      </c>
      <c r="J31" s="105"/>
      <c r="K31" s="105"/>
      <c r="L31" s="105"/>
      <c r="M31" s="105"/>
      <c r="N31" s="105"/>
      <c r="O31" s="107"/>
    </row>
    <row r="32" spans="1:15" x14ac:dyDescent="0.25">
      <c r="A32" s="116"/>
      <c r="B32" s="105"/>
      <c r="C32" s="105"/>
      <c r="D32" s="105"/>
      <c r="E32" s="105"/>
      <c r="F32" s="105"/>
      <c r="G32" s="105"/>
      <c r="H32" s="105"/>
      <c r="I32" s="105"/>
      <c r="J32" s="105"/>
      <c r="K32" s="105"/>
      <c r="L32" s="105"/>
      <c r="M32" s="105"/>
      <c r="N32" s="105"/>
      <c r="O32" s="107"/>
    </row>
    <row r="33" spans="1:15" x14ac:dyDescent="0.25">
      <c r="A33" s="306" t="s">
        <v>16</v>
      </c>
      <c r="B33" s="306" t="s">
        <v>30</v>
      </c>
      <c r="C33" s="306" t="s">
        <v>22</v>
      </c>
      <c r="D33" s="306" t="s">
        <v>23</v>
      </c>
      <c r="E33" s="306" t="s">
        <v>31</v>
      </c>
      <c r="F33" s="306" t="s">
        <v>32</v>
      </c>
      <c r="G33" s="306" t="s">
        <v>33</v>
      </c>
      <c r="H33" s="306" t="s">
        <v>34</v>
      </c>
      <c r="I33" s="306" t="s">
        <v>19</v>
      </c>
      <c r="J33" s="306" t="s">
        <v>20</v>
      </c>
      <c r="K33" s="105"/>
      <c r="L33" s="105"/>
      <c r="M33" s="105"/>
      <c r="N33" s="105"/>
      <c r="O33" s="107"/>
    </row>
    <row r="34" spans="1:15" x14ac:dyDescent="0.25">
      <c r="A34" s="134">
        <v>10</v>
      </c>
      <c r="B34" s="134" t="s">
        <v>71</v>
      </c>
      <c r="C34" s="134" t="s">
        <v>366</v>
      </c>
      <c r="D34" s="137">
        <f>0.8/105154*E34^2*G34*SQRT(G34)+0.003*EXP(0.319*E34)</f>
        <v>6.5344202146287819E-2</v>
      </c>
      <c r="E34" s="49">
        <v>6</v>
      </c>
      <c r="F34" s="49" t="s">
        <v>35</v>
      </c>
      <c r="G34" s="49">
        <v>30</v>
      </c>
      <c r="H34" s="49" t="s">
        <v>35</v>
      </c>
      <c r="I34" s="47">
        <v>1</v>
      </c>
      <c r="J34" s="46">
        <f>D34*I34</f>
        <v>6.5344202146287819E-2</v>
      </c>
      <c r="K34" s="105"/>
      <c r="L34" s="105"/>
      <c r="M34" s="105"/>
      <c r="N34" s="105"/>
      <c r="O34" s="107"/>
    </row>
    <row r="35" spans="1:15" x14ac:dyDescent="0.25">
      <c r="A35" s="134">
        <v>20</v>
      </c>
      <c r="B35" s="134" t="s">
        <v>37</v>
      </c>
      <c r="C35" s="134" t="s">
        <v>366</v>
      </c>
      <c r="D35" s="137">
        <v>0.01</v>
      </c>
      <c r="E35" s="134"/>
      <c r="F35" s="48" t="s">
        <v>72</v>
      </c>
      <c r="G35" s="134"/>
      <c r="H35" s="134"/>
      <c r="I35" s="47">
        <v>2</v>
      </c>
      <c r="J35" s="46">
        <f>I35*D35</f>
        <v>0.02</v>
      </c>
      <c r="K35" s="105"/>
      <c r="L35" s="105"/>
      <c r="M35" s="105"/>
      <c r="N35" s="105"/>
      <c r="O35" s="107"/>
    </row>
    <row r="36" spans="1:15" x14ac:dyDescent="0.25">
      <c r="A36" s="134">
        <v>30</v>
      </c>
      <c r="B36" s="134" t="s">
        <v>36</v>
      </c>
      <c r="C36" s="134" t="s">
        <v>366</v>
      </c>
      <c r="D36" s="137">
        <f>0.009*EXP(0.2*E36)</f>
        <v>2.9881052304628931E-2</v>
      </c>
      <c r="E36" s="134">
        <v>6</v>
      </c>
      <c r="F36" s="48" t="s">
        <v>35</v>
      </c>
      <c r="G36" s="134"/>
      <c r="H36" s="134"/>
      <c r="I36" s="47">
        <v>1</v>
      </c>
      <c r="J36" s="46">
        <f>D36*I36</f>
        <v>2.9881052304628931E-2</v>
      </c>
      <c r="K36" s="105"/>
      <c r="L36" s="105"/>
      <c r="M36" s="105"/>
      <c r="N36" s="105"/>
      <c r="O36" s="107"/>
    </row>
    <row r="37" spans="1:15" x14ac:dyDescent="0.25">
      <c r="A37" s="114"/>
      <c r="B37" s="115"/>
      <c r="C37" s="115"/>
      <c r="D37" s="115"/>
      <c r="E37" s="115"/>
      <c r="F37" s="115"/>
      <c r="G37" s="115"/>
      <c r="H37" s="115"/>
      <c r="I37" s="319" t="s">
        <v>20</v>
      </c>
      <c r="J37" s="318">
        <f>SUM(J34:J36)</f>
        <v>0.11522525445091675</v>
      </c>
      <c r="K37" s="105"/>
      <c r="L37" s="105"/>
      <c r="M37" s="105"/>
      <c r="N37" s="105"/>
      <c r="O37" s="107"/>
    </row>
    <row r="38" spans="1:15" x14ac:dyDescent="0.25">
      <c r="A38" s="116"/>
      <c r="B38" s="105"/>
      <c r="C38" s="105"/>
      <c r="D38" s="105"/>
      <c r="E38" s="105"/>
      <c r="F38" s="105"/>
      <c r="G38" s="105"/>
      <c r="H38" s="105"/>
      <c r="I38" s="105"/>
      <c r="J38" s="105"/>
      <c r="K38" s="105"/>
      <c r="L38" s="105"/>
      <c r="M38" s="105"/>
      <c r="N38" s="105"/>
      <c r="O38" s="107"/>
    </row>
    <row r="39" spans="1:15" x14ac:dyDescent="0.25">
      <c r="A39" s="306" t="s">
        <v>16</v>
      </c>
      <c r="B39" s="306" t="s">
        <v>70</v>
      </c>
      <c r="C39" s="306" t="s">
        <v>22</v>
      </c>
      <c r="D39" s="306" t="s">
        <v>23</v>
      </c>
      <c r="E39" s="306" t="s">
        <v>24</v>
      </c>
      <c r="F39" s="306" t="s">
        <v>19</v>
      </c>
      <c r="G39" s="306" t="s">
        <v>69</v>
      </c>
      <c r="H39" s="306" t="s">
        <v>68</v>
      </c>
      <c r="I39" s="306" t="s">
        <v>20</v>
      </c>
      <c r="J39" s="115"/>
      <c r="K39" s="105"/>
      <c r="L39" s="105"/>
      <c r="M39" s="105"/>
      <c r="N39" s="105"/>
      <c r="O39" s="107"/>
    </row>
    <row r="40" spans="1:15" x14ac:dyDescent="0.25">
      <c r="A40" s="134">
        <v>10</v>
      </c>
      <c r="B40" s="134" t="s">
        <v>67</v>
      </c>
      <c r="C40" s="134" t="s">
        <v>365</v>
      </c>
      <c r="D40" s="46">
        <v>500</v>
      </c>
      <c r="E40" s="134" t="s">
        <v>66</v>
      </c>
      <c r="F40" s="134">
        <v>6</v>
      </c>
      <c r="G40" s="134">
        <v>3000</v>
      </c>
      <c r="H40" s="134">
        <v>1</v>
      </c>
      <c r="I40" s="46">
        <f>D40*F40/G40*H40</f>
        <v>1</v>
      </c>
      <c r="J40" s="115"/>
      <c r="K40" s="105"/>
      <c r="L40" s="105"/>
      <c r="M40" s="105"/>
      <c r="N40" s="105"/>
      <c r="O40" s="107"/>
    </row>
    <row r="41" spans="1:15" x14ac:dyDescent="0.25">
      <c r="A41" s="114"/>
      <c r="B41" s="115"/>
      <c r="C41" s="115"/>
      <c r="D41" s="115"/>
      <c r="E41" s="115"/>
      <c r="F41" s="115"/>
      <c r="G41" s="115"/>
      <c r="H41" s="308" t="s">
        <v>20</v>
      </c>
      <c r="I41" s="307">
        <f>SUM(I40:I40)</f>
        <v>1</v>
      </c>
      <c r="J41" s="115"/>
      <c r="K41" s="105"/>
      <c r="L41" s="105"/>
      <c r="M41" s="105"/>
      <c r="N41" s="105"/>
      <c r="O41" s="107"/>
    </row>
    <row r="42" spans="1:15" ht="15.75" thickBot="1" x14ac:dyDescent="0.3">
      <c r="A42" s="118"/>
      <c r="B42" s="119"/>
      <c r="C42" s="119"/>
      <c r="D42" s="119"/>
      <c r="E42" s="119"/>
      <c r="F42" s="119"/>
      <c r="G42" s="119"/>
      <c r="H42" s="119"/>
      <c r="I42" s="119"/>
      <c r="J42" s="119"/>
      <c r="K42" s="119"/>
      <c r="L42" s="119"/>
      <c r="M42" s="119"/>
      <c r="N42" s="119"/>
      <c r="O42" s="120"/>
    </row>
    <row r="43" spans="1:15" x14ac:dyDescent="0.25">
      <c r="A43" s="105"/>
      <c r="B43" s="105"/>
      <c r="C43" s="105"/>
      <c r="D43" s="105"/>
      <c r="E43" s="105"/>
      <c r="F43" s="105"/>
      <c r="G43" s="105"/>
      <c r="H43" s="105"/>
      <c r="I43" s="105"/>
      <c r="J43" s="105"/>
      <c r="K43" s="105"/>
      <c r="L43" s="105"/>
      <c r="M43" s="105"/>
      <c r="N43" s="105"/>
    </row>
  </sheetData>
  <hyperlinks>
    <hyperlink ref="B10" location="SU_08001" display="Rocker bushing"/>
    <hyperlink ref="B11" location="SU_08002" display="Sheets of metal for rocker"/>
    <hyperlink ref="B12" location="SU_08003" display="Rear rocker mount"/>
    <hyperlink ref="E2" location="SU_A0800_BOM" display="Back to BOM"/>
  </hyperlinks>
  <pageMargins left="0.31496062992125984" right="0.31496062992125984" top="0.31496062992125984" bottom="0.39370078740157483" header="0.51181102362204722" footer="0.31496062992125984"/>
  <pageSetup paperSize="9" scale="72" firstPageNumber="0" fitToHeight="99" orientation="landscape" horizontalDpi="1200" verticalDpi="1200" r:id="rId1"/>
  <rowBreaks count="1" manualBreakCount="1">
    <brk id="42" max="16383" man="1"/>
  </rowBreaks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80"/>
  <sheetViews>
    <sheetView zoomScale="80" zoomScaleNormal="80" zoomScalePageLayoutView="70" workbookViewId="0">
      <selection activeCell="J15" sqref="J15"/>
    </sheetView>
  </sheetViews>
  <sheetFormatPr baseColWidth="10" defaultColWidth="11.5703125" defaultRowHeight="15" x14ac:dyDescent="0.25"/>
  <cols>
    <col min="1" max="1" width="11.5703125" style="103"/>
    <col min="2" max="2" width="30.42578125" style="103" customWidth="1"/>
    <col min="3" max="3" width="23.5703125" style="103" customWidth="1"/>
    <col min="4" max="6" width="11.5703125" style="103"/>
    <col min="7" max="7" width="14.5703125" style="103" customWidth="1"/>
    <col min="8" max="8" width="11.5703125" style="103"/>
    <col min="9" max="9" width="24.28515625" style="103" customWidth="1"/>
    <col min="10" max="10" width="13.5703125" style="103" customWidth="1"/>
    <col min="11" max="16384" width="11.5703125" style="103"/>
  </cols>
  <sheetData>
    <row r="1" spans="1:15" ht="14.45" x14ac:dyDescent="0.3">
      <c r="A1" s="125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  <c r="O1" s="127"/>
    </row>
    <row r="2" spans="1:15" ht="14.45" x14ac:dyDescent="0.3">
      <c r="A2" s="966" t="s">
        <v>0</v>
      </c>
      <c r="B2" s="104" t="s">
        <v>1</v>
      </c>
      <c r="C2" s="3"/>
      <c r="D2" s="3"/>
      <c r="E2" s="3"/>
      <c r="F2" s="969" t="s">
        <v>2</v>
      </c>
      <c r="G2" s="3"/>
      <c r="H2" s="3"/>
      <c r="I2" s="3"/>
      <c r="J2" s="968" t="s">
        <v>3</v>
      </c>
      <c r="K2" s="947">
        <v>81</v>
      </c>
      <c r="L2" s="3"/>
      <c r="M2" s="966" t="s">
        <v>18</v>
      </c>
      <c r="N2" s="946">
        <f>SU_08001_m+SU_08001_p</f>
        <v>1.3710986506763019</v>
      </c>
      <c r="O2" s="128"/>
    </row>
    <row r="3" spans="1:15" ht="14.45" x14ac:dyDescent="0.3">
      <c r="A3" s="966" t="s">
        <v>5</v>
      </c>
      <c r="B3" s="104" t="str">
        <f>'SU A0800'!B3</f>
        <v>Suspension &amp; Shocks</v>
      </c>
      <c r="C3" s="3"/>
      <c r="D3" s="966" t="s">
        <v>8</v>
      </c>
      <c r="E3" s="3"/>
      <c r="F3" s="3"/>
      <c r="G3" s="3"/>
      <c r="H3" s="3"/>
      <c r="I3" s="3"/>
      <c r="J3" s="3"/>
      <c r="K3" s="3"/>
      <c r="L3" s="3"/>
      <c r="M3" s="966" t="s">
        <v>6</v>
      </c>
      <c r="N3" s="967">
        <v>2</v>
      </c>
      <c r="O3" s="128"/>
    </row>
    <row r="4" spans="1:15" ht="14.45" x14ac:dyDescent="0.3">
      <c r="A4" s="966" t="s">
        <v>7</v>
      </c>
      <c r="B4" s="58" t="str">
        <f>'SU A0800'!B4</f>
        <v>Rear Bell Crank</v>
      </c>
      <c r="C4" s="3"/>
      <c r="D4" s="966" t="s">
        <v>10</v>
      </c>
      <c r="E4" s="3"/>
      <c r="F4" s="3"/>
      <c r="G4" s="3"/>
      <c r="H4" s="3"/>
      <c r="I4" s="3"/>
      <c r="J4" s="966" t="s">
        <v>8</v>
      </c>
      <c r="K4" s="3"/>
      <c r="L4" s="3"/>
      <c r="M4" s="3"/>
      <c r="N4" s="3"/>
      <c r="O4" s="128"/>
    </row>
    <row r="5" spans="1:15" ht="14.45" x14ac:dyDescent="0.3">
      <c r="A5" s="966" t="s">
        <v>17</v>
      </c>
      <c r="B5" s="889" t="s">
        <v>177</v>
      </c>
      <c r="C5" s="3"/>
      <c r="D5" s="966" t="s">
        <v>14</v>
      </c>
      <c r="E5" s="3"/>
      <c r="F5" s="3"/>
      <c r="G5" s="3"/>
      <c r="H5" s="3"/>
      <c r="I5" s="3"/>
      <c r="J5" s="966" t="s">
        <v>10</v>
      </c>
      <c r="K5" s="3"/>
      <c r="L5" s="3"/>
      <c r="M5" s="966" t="s">
        <v>11</v>
      </c>
      <c r="N5" s="946">
        <f>N2*SU_08001_q</f>
        <v>2.7421973013526038</v>
      </c>
      <c r="O5" s="128"/>
    </row>
    <row r="6" spans="1:15" ht="14.45" x14ac:dyDescent="0.3">
      <c r="A6" s="966" t="s">
        <v>9</v>
      </c>
      <c r="B6" s="103" t="s">
        <v>417</v>
      </c>
      <c r="C6" s="3"/>
      <c r="D6" s="3"/>
      <c r="E6" s="3"/>
      <c r="F6" s="3"/>
      <c r="G6" s="3"/>
      <c r="H6" s="3"/>
      <c r="I6" s="3"/>
      <c r="J6" s="966" t="s">
        <v>14</v>
      </c>
      <c r="K6" s="3"/>
      <c r="L6" s="3"/>
      <c r="M6" s="3"/>
      <c r="N6" s="3"/>
      <c r="O6" s="128"/>
    </row>
    <row r="7" spans="1:15" ht="14.45" x14ac:dyDescent="0.3">
      <c r="A7" s="966" t="s">
        <v>12</v>
      </c>
      <c r="B7" s="3" t="s">
        <v>13</v>
      </c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128"/>
    </row>
    <row r="8" spans="1:15" ht="14.45" x14ac:dyDescent="0.3">
      <c r="A8" s="966" t="s">
        <v>15</v>
      </c>
      <c r="B8" s="104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128"/>
    </row>
    <row r="9" spans="1:15" ht="14.45" x14ac:dyDescent="0.3">
      <c r="A9" s="945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128"/>
    </row>
    <row r="10" spans="1:15" ht="14.45" x14ac:dyDescent="0.3">
      <c r="A10" s="956" t="s">
        <v>16</v>
      </c>
      <c r="B10" s="955" t="s">
        <v>38</v>
      </c>
      <c r="C10" s="955" t="s">
        <v>22</v>
      </c>
      <c r="D10" s="955" t="s">
        <v>23</v>
      </c>
      <c r="E10" s="955" t="s">
        <v>31</v>
      </c>
      <c r="F10" s="955" t="s">
        <v>32</v>
      </c>
      <c r="G10" s="955" t="s">
        <v>33</v>
      </c>
      <c r="H10" s="955" t="s">
        <v>34</v>
      </c>
      <c r="I10" s="955" t="s">
        <v>39</v>
      </c>
      <c r="J10" s="955" t="s">
        <v>40</v>
      </c>
      <c r="K10" s="955" t="s">
        <v>41</v>
      </c>
      <c r="L10" s="955" t="s">
        <v>42</v>
      </c>
      <c r="M10" s="955" t="s">
        <v>19</v>
      </c>
      <c r="N10" s="955" t="s">
        <v>20</v>
      </c>
      <c r="O10" s="128"/>
    </row>
    <row r="11" spans="1:15" ht="14.45" x14ac:dyDescent="0.3">
      <c r="A11" s="965">
        <v>10</v>
      </c>
      <c r="B11" s="964" t="s">
        <v>383</v>
      </c>
      <c r="C11" s="963" t="s">
        <v>382</v>
      </c>
      <c r="D11" s="952">
        <v>3.3</v>
      </c>
      <c r="E11" s="962">
        <f>J11*K11*L11</f>
        <v>1.3969288083727863E-2</v>
      </c>
      <c r="F11" s="953" t="s">
        <v>43</v>
      </c>
      <c r="G11" s="953"/>
      <c r="H11" s="961"/>
      <c r="I11" s="960" t="s">
        <v>381</v>
      </c>
      <c r="J11" s="960">
        <f>PI()*(7.5*10^-3)^2</f>
        <v>1.7671458676442585E-4</v>
      </c>
      <c r="K11" s="959">
        <v>9.2999999999999992E-3</v>
      </c>
      <c r="L11" s="958">
        <v>8500</v>
      </c>
      <c r="M11" s="958">
        <v>1</v>
      </c>
      <c r="N11" s="952">
        <f>D11*E11</f>
        <v>4.6098650676301943E-2</v>
      </c>
      <c r="O11" s="128"/>
    </row>
    <row r="12" spans="1:15" ht="14.45" x14ac:dyDescent="0.3">
      <c r="A12" s="951"/>
      <c r="B12" s="948"/>
      <c r="C12" s="948"/>
      <c r="D12" s="948"/>
      <c r="E12" s="948"/>
      <c r="F12" s="948"/>
      <c r="G12" s="948"/>
      <c r="H12" s="948"/>
      <c r="I12" s="948"/>
      <c r="J12" s="948"/>
      <c r="K12" s="948"/>
      <c r="L12" s="948"/>
      <c r="M12" s="950" t="s">
        <v>20</v>
      </c>
      <c r="N12" s="957">
        <f>N11</f>
        <v>4.6098650676301943E-2</v>
      </c>
      <c r="O12" s="128"/>
    </row>
    <row r="13" spans="1:15" ht="14.45" x14ac:dyDescent="0.3">
      <c r="A13" s="945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128"/>
    </row>
    <row r="14" spans="1:15" ht="14.45" x14ac:dyDescent="0.3">
      <c r="A14" s="956" t="s">
        <v>16</v>
      </c>
      <c r="B14" s="955" t="s">
        <v>21</v>
      </c>
      <c r="C14" s="955" t="s">
        <v>22</v>
      </c>
      <c r="D14" s="955" t="s">
        <v>23</v>
      </c>
      <c r="E14" s="955" t="s">
        <v>24</v>
      </c>
      <c r="F14" s="955" t="s">
        <v>19</v>
      </c>
      <c r="G14" s="955" t="s">
        <v>25</v>
      </c>
      <c r="H14" s="955" t="s">
        <v>26</v>
      </c>
      <c r="I14" s="955" t="s">
        <v>20</v>
      </c>
      <c r="J14" s="948"/>
      <c r="K14" s="948"/>
      <c r="L14" s="948"/>
      <c r="M14" s="948"/>
      <c r="N14" s="948"/>
      <c r="O14" s="128"/>
    </row>
    <row r="15" spans="1:15" ht="14.45" x14ac:dyDescent="0.3">
      <c r="A15" s="954">
        <v>10</v>
      </c>
      <c r="B15" s="953" t="s">
        <v>81</v>
      </c>
      <c r="C15" s="953"/>
      <c r="D15" s="952">
        <v>1.3</v>
      </c>
      <c r="E15" s="953" t="s">
        <v>72</v>
      </c>
      <c r="F15" s="953">
        <v>1</v>
      </c>
      <c r="G15" s="953"/>
      <c r="H15" s="953"/>
      <c r="I15" s="952">
        <v>1.3</v>
      </c>
      <c r="J15" s="3"/>
      <c r="K15" s="3"/>
      <c r="L15" s="3"/>
      <c r="M15" s="3"/>
      <c r="N15" s="3"/>
      <c r="O15" s="128"/>
    </row>
    <row r="16" spans="1:15" ht="14.45" x14ac:dyDescent="0.3">
      <c r="A16" s="954">
        <v>20</v>
      </c>
      <c r="B16" s="953" t="s">
        <v>380</v>
      </c>
      <c r="C16" s="953" t="s">
        <v>379</v>
      </c>
      <c r="D16" s="952">
        <v>0.04</v>
      </c>
      <c r="E16" s="953" t="s">
        <v>79</v>
      </c>
      <c r="F16" s="953">
        <v>1.25</v>
      </c>
      <c r="G16" s="953" t="s">
        <v>105</v>
      </c>
      <c r="H16" s="953">
        <v>0.5</v>
      </c>
      <c r="I16" s="952">
        <f>D16*F16*H16</f>
        <v>2.5000000000000001E-2</v>
      </c>
      <c r="J16" s="3"/>
      <c r="K16" s="3"/>
      <c r="L16" s="3"/>
      <c r="M16" s="3"/>
      <c r="N16" s="3"/>
      <c r="O16" s="128"/>
    </row>
    <row r="17" spans="1:15" ht="14.45" x14ac:dyDescent="0.3">
      <c r="A17" s="951"/>
      <c r="B17" s="948"/>
      <c r="C17" s="948"/>
      <c r="D17" s="948"/>
      <c r="E17" s="948"/>
      <c r="F17" s="948"/>
      <c r="G17" s="948"/>
      <c r="H17" s="950" t="s">
        <v>20</v>
      </c>
      <c r="I17" s="949">
        <f>I15+I16</f>
        <v>1.325</v>
      </c>
      <c r="J17" s="948"/>
      <c r="K17" s="948"/>
      <c r="L17" s="948"/>
      <c r="M17" s="948"/>
      <c r="N17" s="948"/>
      <c r="O17" s="128"/>
    </row>
    <row r="18" spans="1:15" ht="14.45" x14ac:dyDescent="0.3">
      <c r="A18" s="945"/>
      <c r="B18" s="3"/>
      <c r="C18" s="3"/>
      <c r="D18" s="3"/>
      <c r="E18" s="3"/>
      <c r="F18" s="3"/>
      <c r="G18" s="3"/>
      <c r="H18" s="947"/>
      <c r="I18" s="946"/>
      <c r="J18" s="3"/>
      <c r="K18" s="3"/>
      <c r="L18" s="3"/>
      <c r="M18" s="3"/>
      <c r="N18" s="3"/>
      <c r="O18" s="128"/>
    </row>
    <row r="19" spans="1:15" ht="14.45" x14ac:dyDescent="0.3">
      <c r="A19" s="945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128"/>
    </row>
    <row r="20" spans="1:15" ht="14.45" x14ac:dyDescent="0.3">
      <c r="A20" s="945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128"/>
    </row>
    <row r="21" spans="1:15" ht="14.45" x14ac:dyDescent="0.3">
      <c r="A21" s="945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128"/>
    </row>
    <row r="22" spans="1:15" thickBot="1" x14ac:dyDescent="0.35">
      <c r="A22" s="944"/>
      <c r="B22" s="943"/>
      <c r="C22" s="943"/>
      <c r="D22" s="943"/>
      <c r="E22" s="943"/>
      <c r="F22" s="943"/>
      <c r="G22" s="943"/>
      <c r="H22" s="943"/>
      <c r="I22" s="943"/>
      <c r="J22" s="943"/>
      <c r="K22" s="943"/>
      <c r="L22" s="943"/>
      <c r="M22" s="943"/>
      <c r="N22" s="943"/>
      <c r="O22" s="140"/>
    </row>
    <row r="23" spans="1:15" ht="14.45" x14ac:dyDescent="0.3">
      <c r="A23" s="104"/>
      <c r="B23" s="941"/>
      <c r="C23" s="941"/>
      <c r="D23" s="941"/>
      <c r="E23" s="941"/>
      <c r="F23" s="941"/>
      <c r="G23" s="941"/>
      <c r="H23" s="941"/>
      <c r="I23" s="941"/>
      <c r="J23" s="941"/>
      <c r="K23" s="941"/>
      <c r="L23" s="941"/>
      <c r="M23" s="941"/>
      <c r="N23" s="941"/>
    </row>
    <row r="24" spans="1:15" ht="14.45" x14ac:dyDescent="0.3">
      <c r="A24" s="104"/>
      <c r="B24" s="941"/>
      <c r="C24" s="941"/>
      <c r="D24" s="941"/>
      <c r="E24" s="941"/>
      <c r="F24" s="941"/>
      <c r="G24" s="941"/>
      <c r="H24" s="941"/>
      <c r="I24" s="941"/>
      <c r="J24" s="941"/>
      <c r="K24" s="941"/>
      <c r="L24" s="941"/>
      <c r="M24" s="941"/>
      <c r="N24" s="941"/>
    </row>
    <row r="25" spans="1:15" ht="14.45" x14ac:dyDescent="0.3">
      <c r="A25" s="58"/>
      <c r="B25" s="941"/>
      <c r="C25" s="941"/>
      <c r="D25" s="941"/>
      <c r="E25" s="941"/>
      <c r="F25" s="941"/>
      <c r="G25" s="941"/>
      <c r="H25" s="941"/>
      <c r="I25" s="941"/>
      <c r="J25" s="941"/>
      <c r="K25" s="941"/>
      <c r="L25" s="941"/>
      <c r="M25" s="941"/>
      <c r="N25" s="941"/>
    </row>
    <row r="26" spans="1:15" ht="14.45" x14ac:dyDescent="0.3">
      <c r="A26" s="108"/>
      <c r="B26" s="941"/>
      <c r="C26" s="941"/>
      <c r="D26" s="941"/>
      <c r="E26" s="941"/>
      <c r="F26" s="941"/>
      <c r="G26" s="941"/>
      <c r="H26" s="941"/>
      <c r="I26" s="941"/>
      <c r="J26" s="941"/>
      <c r="K26" s="941"/>
      <c r="L26" s="941"/>
      <c r="M26" s="941"/>
      <c r="N26" s="941"/>
    </row>
    <row r="27" spans="1:15" ht="14.45" x14ac:dyDescent="0.3">
      <c r="A27" s="109"/>
      <c r="B27" s="941"/>
      <c r="C27" s="941"/>
      <c r="D27" s="941"/>
      <c r="E27" s="941"/>
      <c r="F27" s="941"/>
      <c r="G27" s="941"/>
      <c r="H27" s="941"/>
      <c r="I27" s="941"/>
      <c r="J27" s="941"/>
      <c r="K27" s="941"/>
      <c r="L27" s="941"/>
      <c r="M27" s="941"/>
      <c r="N27" s="941"/>
    </row>
    <row r="28" spans="1:15" ht="14.45" x14ac:dyDescent="0.3">
      <c r="A28" s="104"/>
      <c r="B28" s="941"/>
      <c r="C28" s="941"/>
      <c r="D28" s="941"/>
      <c r="E28" s="941"/>
      <c r="F28" s="941"/>
      <c r="G28" s="941"/>
      <c r="H28" s="941"/>
      <c r="I28" s="941"/>
      <c r="J28" s="941"/>
      <c r="K28" s="941"/>
      <c r="L28" s="941"/>
      <c r="M28" s="941"/>
      <c r="N28" s="941"/>
    </row>
    <row r="29" spans="1:15" ht="14.45" x14ac:dyDescent="0.3">
      <c r="A29" s="104"/>
      <c r="B29" s="941"/>
      <c r="C29" s="941"/>
      <c r="D29" s="941"/>
      <c r="E29" s="941"/>
      <c r="F29" s="941"/>
      <c r="G29" s="941"/>
      <c r="H29" s="941"/>
      <c r="I29" s="941"/>
      <c r="J29" s="941"/>
      <c r="K29" s="941"/>
      <c r="L29" s="941"/>
      <c r="M29" s="941"/>
      <c r="N29" s="941"/>
    </row>
    <row r="30" spans="1:15" x14ac:dyDescent="0.25">
      <c r="A30" s="941"/>
      <c r="B30" s="941"/>
      <c r="C30" s="941"/>
      <c r="D30" s="941"/>
      <c r="E30" s="941"/>
      <c r="F30" s="941"/>
      <c r="G30" s="941"/>
      <c r="H30" s="941"/>
      <c r="I30" s="941"/>
      <c r="J30" s="941"/>
      <c r="K30" s="941"/>
      <c r="L30" s="941"/>
      <c r="M30" s="941"/>
      <c r="N30" s="941"/>
    </row>
    <row r="31" spans="1:15" x14ac:dyDescent="0.25">
      <c r="A31" s="941"/>
      <c r="B31" s="941"/>
      <c r="C31" s="941"/>
      <c r="D31" s="941"/>
      <c r="E31" s="941"/>
      <c r="F31" s="941"/>
      <c r="G31" s="941"/>
      <c r="H31" s="941"/>
      <c r="I31" s="941"/>
      <c r="J31" s="941"/>
      <c r="K31" s="941"/>
      <c r="L31" s="941"/>
      <c r="M31" s="941"/>
      <c r="N31" s="941"/>
    </row>
    <row r="32" spans="1:15" x14ac:dyDescent="0.25">
      <c r="A32" s="941"/>
      <c r="B32" s="941"/>
      <c r="C32" s="941"/>
      <c r="D32" s="941"/>
      <c r="E32" s="941"/>
      <c r="F32" s="941"/>
      <c r="G32" s="941"/>
      <c r="H32" s="941"/>
      <c r="I32" s="941"/>
      <c r="J32" s="941"/>
      <c r="K32" s="941"/>
      <c r="L32" s="941"/>
      <c r="M32" s="941"/>
      <c r="N32" s="941"/>
    </row>
    <row r="33" spans="1:14" x14ac:dyDescent="0.25">
      <c r="A33" s="941"/>
      <c r="B33" s="941"/>
      <c r="C33" s="941"/>
      <c r="D33" s="941"/>
      <c r="E33" s="941"/>
      <c r="F33" s="941"/>
      <c r="G33" s="941"/>
      <c r="H33" s="941"/>
      <c r="I33" s="941"/>
      <c r="J33" s="941"/>
      <c r="K33" s="941"/>
      <c r="L33" s="941"/>
      <c r="M33" s="941"/>
      <c r="N33" s="941"/>
    </row>
    <row r="34" spans="1:14" x14ac:dyDescent="0.25">
      <c r="A34" s="941"/>
      <c r="B34" s="941"/>
      <c r="C34" s="941"/>
      <c r="D34" s="941"/>
      <c r="E34" s="941"/>
      <c r="F34" s="941"/>
      <c r="G34" s="941"/>
      <c r="H34" s="941"/>
      <c r="I34" s="941"/>
      <c r="J34" s="941"/>
      <c r="K34" s="941"/>
      <c r="L34" s="941"/>
      <c r="M34" s="941"/>
      <c r="N34" s="941"/>
    </row>
    <row r="35" spans="1:14" x14ac:dyDescent="0.25">
      <c r="A35" s="941"/>
      <c r="B35" s="941"/>
      <c r="C35" s="941"/>
      <c r="D35" s="941"/>
      <c r="E35" s="941"/>
      <c r="F35" s="941"/>
      <c r="G35" s="941"/>
      <c r="H35" s="941"/>
      <c r="I35" s="941"/>
      <c r="J35" s="941"/>
      <c r="K35" s="941"/>
      <c r="L35" s="941"/>
      <c r="M35" s="941"/>
      <c r="N35" s="941"/>
    </row>
    <row r="36" spans="1:14" x14ac:dyDescent="0.25">
      <c r="A36" s="941"/>
      <c r="B36" s="941"/>
      <c r="C36" s="941"/>
      <c r="D36" s="941"/>
      <c r="E36" s="941"/>
      <c r="F36" s="941"/>
      <c r="G36" s="941"/>
      <c r="H36" s="941"/>
      <c r="I36" s="941"/>
      <c r="J36" s="941"/>
      <c r="K36" s="941"/>
      <c r="L36" s="941"/>
      <c r="M36" s="941"/>
      <c r="N36" s="941"/>
    </row>
    <row r="37" spans="1:14" x14ac:dyDescent="0.25">
      <c r="A37" s="941"/>
      <c r="B37" s="941"/>
      <c r="C37" s="941"/>
      <c r="D37" s="941"/>
      <c r="E37" s="941"/>
      <c r="F37" s="941"/>
      <c r="G37" s="941"/>
      <c r="H37" s="941"/>
      <c r="I37" s="941"/>
      <c r="J37" s="941"/>
      <c r="K37" s="941"/>
      <c r="L37" s="941"/>
      <c r="M37" s="941"/>
      <c r="N37" s="941"/>
    </row>
    <row r="38" spans="1:14" x14ac:dyDescent="0.25">
      <c r="A38" s="941"/>
      <c r="B38" s="941"/>
      <c r="C38" s="941"/>
      <c r="D38" s="941"/>
      <c r="E38" s="941"/>
      <c r="F38" s="941"/>
      <c r="G38" s="941"/>
      <c r="H38" s="941"/>
      <c r="I38" s="941"/>
      <c r="J38" s="941"/>
      <c r="K38" s="941"/>
      <c r="L38" s="941"/>
      <c r="M38" s="941"/>
      <c r="N38" s="941"/>
    </row>
    <row r="39" spans="1:14" x14ac:dyDescent="0.25">
      <c r="A39" s="941"/>
      <c r="B39" s="941"/>
      <c r="C39" s="941"/>
      <c r="D39" s="941"/>
      <c r="E39" s="941"/>
      <c r="F39" s="941"/>
      <c r="G39" s="941"/>
      <c r="H39" s="941"/>
      <c r="I39" s="941"/>
      <c r="J39" s="941"/>
      <c r="K39" s="941"/>
      <c r="L39" s="941"/>
      <c r="M39" s="941"/>
      <c r="N39" s="941"/>
    </row>
    <row r="40" spans="1:14" x14ac:dyDescent="0.25">
      <c r="A40" s="941"/>
      <c r="B40" s="941"/>
      <c r="C40" s="941"/>
      <c r="D40" s="941"/>
      <c r="E40" s="941"/>
      <c r="F40" s="941"/>
      <c r="G40" s="941"/>
      <c r="H40" s="941"/>
      <c r="I40" s="941"/>
      <c r="J40" s="941"/>
      <c r="K40" s="941"/>
      <c r="L40" s="941"/>
      <c r="M40" s="941"/>
      <c r="N40" s="941"/>
    </row>
    <row r="41" spans="1:14" x14ac:dyDescent="0.25">
      <c r="A41" s="941"/>
      <c r="B41" s="941"/>
      <c r="C41" s="941"/>
      <c r="D41" s="941"/>
      <c r="E41" s="941"/>
      <c r="F41" s="941"/>
      <c r="G41" s="941"/>
      <c r="H41" s="941"/>
      <c r="I41" s="941"/>
      <c r="J41" s="941"/>
      <c r="K41" s="941"/>
      <c r="L41" s="941"/>
      <c r="M41" s="941"/>
      <c r="N41" s="941"/>
    </row>
    <row r="42" spans="1:14" x14ac:dyDescent="0.25">
      <c r="A42" s="941"/>
      <c r="B42" s="941"/>
      <c r="C42" s="941"/>
      <c r="D42" s="941"/>
      <c r="E42" s="941"/>
      <c r="F42" s="941"/>
      <c r="G42" s="941"/>
      <c r="H42" s="941"/>
      <c r="I42" s="941"/>
      <c r="J42" s="941"/>
      <c r="K42" s="941"/>
      <c r="L42" s="941"/>
      <c r="M42" s="941"/>
      <c r="N42" s="941"/>
    </row>
    <row r="43" spans="1:14" x14ac:dyDescent="0.25">
      <c r="A43" s="941"/>
      <c r="B43" s="941"/>
      <c r="C43" s="941"/>
      <c r="D43" s="941"/>
      <c r="E43" s="941"/>
      <c r="F43" s="941"/>
      <c r="G43" s="941"/>
      <c r="H43" s="941"/>
      <c r="I43" s="941"/>
      <c r="J43" s="941"/>
      <c r="K43" s="941"/>
      <c r="L43" s="941"/>
      <c r="M43" s="941"/>
      <c r="N43" s="941"/>
    </row>
    <row r="44" spans="1:14" x14ac:dyDescent="0.25">
      <c r="A44" s="941"/>
      <c r="B44" s="941"/>
      <c r="C44" s="941"/>
      <c r="D44" s="941"/>
      <c r="E44" s="941"/>
      <c r="F44" s="941"/>
      <c r="G44" s="941"/>
      <c r="H44" s="941"/>
      <c r="I44" s="941"/>
      <c r="J44" s="941"/>
      <c r="K44" s="941"/>
      <c r="L44" s="941"/>
      <c r="M44" s="941"/>
      <c r="N44" s="941"/>
    </row>
    <row r="45" spans="1:14" x14ac:dyDescent="0.25">
      <c r="A45" s="941"/>
      <c r="B45" s="941"/>
      <c r="C45" s="941"/>
      <c r="D45" s="941"/>
      <c r="E45" s="941"/>
      <c r="F45" s="941"/>
      <c r="G45" s="941"/>
      <c r="H45" s="941"/>
      <c r="I45" s="941"/>
      <c r="J45" s="941"/>
      <c r="K45" s="941"/>
      <c r="L45" s="941"/>
      <c r="M45" s="941"/>
      <c r="N45" s="941"/>
    </row>
    <row r="46" spans="1:14" x14ac:dyDescent="0.25">
      <c r="A46" s="941"/>
      <c r="B46" s="941"/>
      <c r="C46" s="941"/>
      <c r="D46" s="941"/>
      <c r="E46" s="941"/>
      <c r="F46" s="941"/>
      <c r="G46" s="941"/>
      <c r="H46" s="941"/>
      <c r="I46" s="941"/>
      <c r="J46" s="941"/>
      <c r="K46" s="941"/>
      <c r="L46" s="941"/>
      <c r="M46" s="941"/>
      <c r="N46" s="941"/>
    </row>
    <row r="47" spans="1:14" x14ac:dyDescent="0.25">
      <c r="A47" s="941"/>
      <c r="B47" s="941"/>
      <c r="C47" s="941"/>
      <c r="D47" s="941"/>
      <c r="E47" s="941"/>
      <c r="F47" s="941"/>
      <c r="G47" s="941"/>
      <c r="H47" s="941"/>
      <c r="I47" s="941"/>
      <c r="J47" s="941"/>
      <c r="K47" s="941"/>
      <c r="L47" s="941"/>
      <c r="M47" s="941"/>
      <c r="N47" s="941"/>
    </row>
    <row r="48" spans="1:14" x14ac:dyDescent="0.25">
      <c r="A48" s="941"/>
      <c r="B48" s="941"/>
      <c r="C48" s="941"/>
      <c r="D48" s="941"/>
      <c r="E48" s="941"/>
      <c r="F48" s="941"/>
      <c r="G48" s="941"/>
      <c r="H48" s="941"/>
      <c r="I48" s="941"/>
      <c r="J48" s="941"/>
      <c r="K48" s="941"/>
      <c r="L48" s="941"/>
      <c r="M48" s="941"/>
      <c r="N48" s="941"/>
    </row>
    <row r="49" spans="1:14" x14ac:dyDescent="0.25">
      <c r="A49" s="941"/>
      <c r="B49" s="941"/>
      <c r="C49" s="941"/>
      <c r="D49" s="941"/>
      <c r="E49" s="941"/>
      <c r="F49" s="941"/>
      <c r="G49" s="941"/>
      <c r="H49" s="941"/>
      <c r="I49" s="941"/>
      <c r="J49" s="941"/>
      <c r="K49" s="941"/>
      <c r="L49" s="941"/>
      <c r="M49" s="941"/>
      <c r="N49" s="941"/>
    </row>
    <row r="50" spans="1:14" x14ac:dyDescent="0.25">
      <c r="A50" s="941"/>
      <c r="B50" s="941"/>
      <c r="C50" s="941"/>
      <c r="D50" s="941"/>
      <c r="E50" s="941"/>
      <c r="F50" s="941"/>
      <c r="G50" s="941"/>
      <c r="H50" s="941"/>
      <c r="I50" s="941"/>
      <c r="J50" s="941"/>
      <c r="K50" s="941"/>
      <c r="L50" s="941"/>
      <c r="M50" s="941"/>
      <c r="N50" s="941"/>
    </row>
    <row r="51" spans="1:14" x14ac:dyDescent="0.25">
      <c r="A51" s="941"/>
      <c r="B51" s="941"/>
      <c r="C51" s="941"/>
      <c r="D51" s="941"/>
      <c r="E51" s="941"/>
      <c r="F51" s="941"/>
      <c r="G51" s="941"/>
      <c r="H51" s="941"/>
      <c r="I51" s="941"/>
      <c r="J51" s="941"/>
      <c r="K51" s="941"/>
      <c r="L51" s="941"/>
      <c r="M51" s="941"/>
      <c r="N51" s="941"/>
    </row>
    <row r="52" spans="1:14" x14ac:dyDescent="0.25">
      <c r="A52" s="941"/>
      <c r="B52" s="941"/>
      <c r="C52" s="941"/>
      <c r="D52" s="941"/>
      <c r="E52" s="941"/>
      <c r="F52" s="941"/>
      <c r="G52" s="941"/>
      <c r="H52" s="941"/>
      <c r="I52" s="941"/>
      <c r="J52" s="941"/>
      <c r="K52" s="941"/>
      <c r="L52" s="941"/>
      <c r="M52" s="941"/>
      <c r="N52" s="941"/>
    </row>
    <row r="53" spans="1:14" x14ac:dyDescent="0.25">
      <c r="A53" s="941"/>
      <c r="B53" s="941"/>
      <c r="C53" s="941"/>
      <c r="D53" s="941"/>
      <c r="E53" s="941"/>
      <c r="F53" s="941"/>
      <c r="G53" s="941"/>
      <c r="H53" s="941"/>
      <c r="I53" s="941"/>
      <c r="J53" s="941"/>
      <c r="K53" s="941"/>
      <c r="L53" s="941"/>
      <c r="M53" s="941"/>
      <c r="N53" s="941"/>
    </row>
    <row r="54" spans="1:14" x14ac:dyDescent="0.25">
      <c r="A54" s="941"/>
      <c r="B54" s="941"/>
      <c r="C54" s="941"/>
      <c r="D54" s="941"/>
      <c r="E54" s="941"/>
      <c r="F54" s="941"/>
      <c r="G54" s="941"/>
      <c r="H54" s="941"/>
      <c r="I54" s="941"/>
      <c r="J54" s="941"/>
      <c r="K54" s="941"/>
      <c r="L54" s="941"/>
      <c r="M54" s="941"/>
      <c r="N54" s="941"/>
    </row>
    <row r="55" spans="1:14" x14ac:dyDescent="0.25">
      <c r="A55" s="941"/>
      <c r="B55" s="941"/>
      <c r="C55" s="941"/>
      <c r="D55" s="941"/>
      <c r="E55" s="941"/>
      <c r="F55" s="941"/>
      <c r="G55" s="941"/>
      <c r="H55" s="941"/>
      <c r="I55" s="941"/>
      <c r="J55" s="941"/>
      <c r="K55" s="941"/>
      <c r="L55" s="941"/>
      <c r="M55" s="941"/>
      <c r="N55" s="941"/>
    </row>
    <row r="56" spans="1:14" x14ac:dyDescent="0.25">
      <c r="A56" s="941"/>
      <c r="B56" s="941"/>
      <c r="C56" s="941"/>
      <c r="D56" s="941"/>
      <c r="E56" s="941"/>
      <c r="F56" s="941"/>
      <c r="G56" s="941"/>
      <c r="H56" s="941"/>
      <c r="I56" s="941"/>
      <c r="J56" s="941"/>
      <c r="K56" s="941"/>
      <c r="L56" s="941"/>
      <c r="M56" s="941"/>
      <c r="N56" s="941"/>
    </row>
    <row r="57" spans="1:14" x14ac:dyDescent="0.25">
      <c r="A57" s="941"/>
      <c r="B57" s="941"/>
      <c r="C57" s="941"/>
      <c r="D57" s="941"/>
      <c r="E57" s="941"/>
      <c r="F57" s="941"/>
      <c r="G57" s="941"/>
      <c r="H57" s="941"/>
      <c r="I57" s="941"/>
      <c r="J57" s="941"/>
      <c r="K57" s="941"/>
      <c r="L57" s="941"/>
      <c r="M57" s="941"/>
      <c r="N57" s="941"/>
    </row>
    <row r="58" spans="1:14" x14ac:dyDescent="0.25">
      <c r="A58" s="941"/>
      <c r="B58" s="941"/>
      <c r="C58" s="941"/>
      <c r="D58" s="941"/>
      <c r="E58" s="941"/>
      <c r="F58" s="941"/>
      <c r="G58" s="941"/>
      <c r="H58" s="941"/>
      <c r="I58" s="941"/>
      <c r="J58" s="941"/>
      <c r="K58" s="941"/>
      <c r="L58" s="941"/>
      <c r="M58" s="941"/>
      <c r="N58" s="941"/>
    </row>
    <row r="59" spans="1:14" x14ac:dyDescent="0.25">
      <c r="A59" s="941"/>
      <c r="B59" s="941"/>
      <c r="C59" s="941"/>
      <c r="D59" s="941"/>
      <c r="E59" s="941"/>
      <c r="F59" s="941"/>
      <c r="G59" s="941"/>
      <c r="H59" s="941"/>
      <c r="I59" s="941"/>
      <c r="J59" s="941"/>
      <c r="K59" s="941"/>
      <c r="L59" s="941"/>
      <c r="M59" s="941"/>
      <c r="N59" s="941"/>
    </row>
    <row r="60" spans="1:14" x14ac:dyDescent="0.25">
      <c r="A60" s="941"/>
      <c r="B60" s="941"/>
      <c r="C60" s="941"/>
      <c r="D60" s="941"/>
      <c r="E60" s="941"/>
      <c r="F60" s="941"/>
      <c r="G60" s="941"/>
      <c r="H60" s="941"/>
      <c r="I60" s="941"/>
      <c r="J60" s="941"/>
      <c r="K60" s="941"/>
      <c r="L60" s="941"/>
      <c r="M60" s="941"/>
      <c r="N60" s="941"/>
    </row>
    <row r="61" spans="1:14" x14ac:dyDescent="0.25">
      <c r="A61" s="941"/>
      <c r="B61" s="941"/>
      <c r="C61" s="941"/>
      <c r="D61" s="941"/>
      <c r="E61" s="941"/>
      <c r="F61" s="941"/>
      <c r="G61" s="941"/>
      <c r="H61" s="941"/>
      <c r="I61" s="941"/>
      <c r="J61" s="941"/>
      <c r="K61" s="941"/>
      <c r="L61" s="941"/>
      <c r="M61" s="941"/>
      <c r="N61" s="941"/>
    </row>
    <row r="62" spans="1:14" x14ac:dyDescent="0.25">
      <c r="A62" s="941"/>
      <c r="B62" s="941"/>
      <c r="C62" s="941"/>
      <c r="D62" s="941"/>
      <c r="E62" s="941"/>
      <c r="F62" s="941"/>
      <c r="G62" s="941"/>
      <c r="H62" s="941"/>
      <c r="I62" s="941"/>
      <c r="J62" s="941"/>
      <c r="K62" s="941"/>
      <c r="L62" s="941"/>
      <c r="M62" s="941"/>
      <c r="N62" s="941"/>
    </row>
    <row r="63" spans="1:14" x14ac:dyDescent="0.25">
      <c r="A63" s="941"/>
      <c r="B63" s="941"/>
      <c r="C63" s="941"/>
      <c r="D63" s="941"/>
      <c r="E63" s="941"/>
      <c r="F63" s="941"/>
      <c r="G63" s="941"/>
      <c r="H63" s="941"/>
      <c r="I63" s="941"/>
      <c r="J63" s="941"/>
      <c r="K63" s="941"/>
      <c r="L63" s="941"/>
      <c r="M63" s="941"/>
      <c r="N63" s="941"/>
    </row>
    <row r="64" spans="1:14" x14ac:dyDescent="0.25">
      <c r="A64" s="941"/>
      <c r="B64" s="941"/>
      <c r="C64" s="941"/>
      <c r="D64" s="941"/>
      <c r="E64" s="941"/>
      <c r="F64" s="941"/>
      <c r="G64" s="941"/>
      <c r="H64" s="941"/>
      <c r="I64" s="941"/>
      <c r="J64" s="941"/>
      <c r="K64" s="941"/>
      <c r="L64" s="941"/>
      <c r="M64" s="941"/>
      <c r="N64" s="941"/>
    </row>
    <row r="65" spans="1:14" x14ac:dyDescent="0.25">
      <c r="A65" s="941"/>
      <c r="B65" s="941"/>
      <c r="C65" s="941"/>
      <c r="D65" s="941"/>
      <c r="E65" s="941"/>
      <c r="F65" s="941"/>
      <c r="G65" s="941"/>
      <c r="H65" s="941"/>
      <c r="I65" s="941"/>
      <c r="J65" s="941"/>
      <c r="K65" s="941"/>
      <c r="L65" s="941"/>
      <c r="M65" s="941"/>
      <c r="N65" s="941"/>
    </row>
    <row r="66" spans="1:14" x14ac:dyDescent="0.25">
      <c r="A66" s="941"/>
      <c r="B66" s="941"/>
      <c r="C66" s="941"/>
      <c r="D66" s="941"/>
      <c r="E66" s="941"/>
      <c r="F66" s="941"/>
      <c r="G66" s="941"/>
      <c r="H66" s="941"/>
      <c r="I66" s="941"/>
      <c r="J66" s="941"/>
      <c r="K66" s="941"/>
      <c r="L66" s="941"/>
      <c r="M66" s="941"/>
      <c r="N66" s="941"/>
    </row>
    <row r="67" spans="1:14" x14ac:dyDescent="0.25">
      <c r="A67" s="941"/>
      <c r="B67" s="941"/>
      <c r="C67" s="941"/>
      <c r="D67" s="941"/>
      <c r="E67" s="941"/>
      <c r="F67" s="941"/>
      <c r="G67" s="941"/>
      <c r="H67" s="941"/>
      <c r="I67" s="941"/>
      <c r="J67" s="941"/>
      <c r="K67" s="941"/>
      <c r="L67" s="941"/>
      <c r="M67" s="941"/>
      <c r="N67" s="941"/>
    </row>
    <row r="68" spans="1:14" x14ac:dyDescent="0.25">
      <c r="A68" s="941"/>
      <c r="B68" s="941"/>
      <c r="C68" s="941"/>
      <c r="D68" s="941"/>
      <c r="E68" s="941"/>
      <c r="F68" s="941"/>
      <c r="G68" s="941"/>
      <c r="H68" s="941"/>
      <c r="I68" s="941"/>
      <c r="J68" s="941"/>
      <c r="K68" s="941"/>
      <c r="L68" s="941"/>
      <c r="M68" s="941"/>
      <c r="N68" s="941"/>
    </row>
    <row r="69" spans="1:14" x14ac:dyDescent="0.25">
      <c r="A69" s="941"/>
      <c r="B69" s="941"/>
      <c r="C69" s="941"/>
      <c r="D69" s="941"/>
      <c r="E69" s="941"/>
      <c r="F69" s="941"/>
      <c r="G69" s="941"/>
      <c r="H69" s="941"/>
      <c r="I69" s="941"/>
      <c r="J69" s="941"/>
      <c r="K69" s="941"/>
      <c r="L69" s="941"/>
      <c r="M69" s="941"/>
      <c r="N69" s="941"/>
    </row>
    <row r="70" spans="1:14" x14ac:dyDescent="0.25">
      <c r="A70" s="941"/>
      <c r="B70" s="941"/>
      <c r="C70" s="941"/>
      <c r="D70" s="941"/>
      <c r="E70" s="941"/>
      <c r="F70" s="941"/>
      <c r="G70" s="941"/>
      <c r="H70" s="941"/>
      <c r="I70" s="941"/>
      <c r="J70" s="941"/>
      <c r="K70" s="941"/>
      <c r="L70" s="941"/>
      <c r="M70" s="941"/>
      <c r="N70" s="941"/>
    </row>
    <row r="71" spans="1:14" x14ac:dyDescent="0.25">
      <c r="A71" s="941"/>
      <c r="B71" s="941"/>
      <c r="C71" s="941"/>
      <c r="D71" s="941"/>
      <c r="E71" s="941"/>
      <c r="F71" s="941"/>
      <c r="G71" s="941"/>
      <c r="H71" s="941"/>
      <c r="I71" s="941"/>
      <c r="J71" s="941"/>
      <c r="K71" s="941"/>
      <c r="L71" s="941"/>
      <c r="M71" s="941"/>
      <c r="N71" s="941"/>
    </row>
    <row r="72" spans="1:14" x14ac:dyDescent="0.25">
      <c r="A72" s="941"/>
      <c r="B72" s="941"/>
      <c r="C72" s="941"/>
      <c r="D72" s="941"/>
      <c r="E72" s="941"/>
      <c r="F72" s="941"/>
      <c r="G72" s="941"/>
      <c r="H72" s="941"/>
      <c r="I72" s="941"/>
      <c r="J72" s="941"/>
      <c r="K72" s="941"/>
      <c r="L72" s="941"/>
      <c r="M72" s="941"/>
      <c r="N72" s="941"/>
    </row>
    <row r="73" spans="1:14" x14ac:dyDescent="0.25">
      <c r="A73" s="941"/>
      <c r="B73" s="941"/>
      <c r="C73" s="941"/>
      <c r="D73" s="941"/>
      <c r="E73" s="941"/>
      <c r="F73" s="941"/>
      <c r="G73" s="941"/>
      <c r="H73" s="941"/>
      <c r="I73" s="941"/>
      <c r="J73" s="941"/>
      <c r="K73" s="941"/>
      <c r="L73" s="941"/>
      <c r="M73" s="941"/>
      <c r="N73" s="941"/>
    </row>
    <row r="74" spans="1:14" x14ac:dyDescent="0.25">
      <c r="A74" s="941"/>
      <c r="B74" s="941"/>
      <c r="C74" s="941"/>
      <c r="D74" s="941"/>
      <c r="E74" s="941"/>
      <c r="F74" s="941"/>
      <c r="G74" s="941"/>
      <c r="H74" s="941"/>
      <c r="I74" s="941"/>
      <c r="J74" s="941"/>
      <c r="K74" s="941"/>
      <c r="L74" s="941"/>
      <c r="M74" s="941"/>
      <c r="N74" s="941"/>
    </row>
    <row r="75" spans="1:14" x14ac:dyDescent="0.25">
      <c r="A75" s="941"/>
      <c r="B75" s="941"/>
      <c r="C75" s="941"/>
      <c r="D75" s="941"/>
      <c r="E75" s="941"/>
      <c r="F75" s="941"/>
      <c r="G75" s="941"/>
      <c r="H75" s="941"/>
      <c r="I75" s="941"/>
      <c r="J75" s="941"/>
      <c r="K75" s="941"/>
      <c r="L75" s="941"/>
      <c r="M75" s="941"/>
      <c r="N75" s="941"/>
    </row>
    <row r="76" spans="1:14" x14ac:dyDescent="0.25">
      <c r="A76" s="941"/>
      <c r="B76" s="941"/>
      <c r="C76" s="941"/>
      <c r="D76" s="941"/>
      <c r="E76" s="941"/>
      <c r="F76" s="941"/>
      <c r="G76" s="941"/>
      <c r="H76" s="941"/>
      <c r="I76" s="941"/>
      <c r="J76" s="941"/>
      <c r="K76" s="941"/>
      <c r="L76" s="941"/>
      <c r="M76" s="941"/>
      <c r="N76" s="941"/>
    </row>
    <row r="77" spans="1:14" x14ac:dyDescent="0.25">
      <c r="A77" s="941"/>
      <c r="B77" s="941"/>
      <c r="C77" s="941"/>
      <c r="D77" s="941"/>
      <c r="E77" s="941"/>
      <c r="F77" s="941"/>
      <c r="G77" s="941"/>
      <c r="H77" s="941"/>
      <c r="I77" s="941"/>
      <c r="J77" s="941"/>
      <c r="K77" s="941"/>
      <c r="L77" s="941"/>
      <c r="M77" s="941"/>
      <c r="N77" s="941"/>
    </row>
    <row r="78" spans="1:14" x14ac:dyDescent="0.25">
      <c r="A78" s="941"/>
      <c r="B78" s="941"/>
      <c r="C78" s="941"/>
      <c r="D78" s="941"/>
      <c r="E78" s="941"/>
      <c r="F78" s="941"/>
      <c r="G78" s="941"/>
      <c r="H78" s="941"/>
      <c r="I78" s="941"/>
      <c r="J78" s="941"/>
      <c r="K78" s="941"/>
      <c r="L78" s="941"/>
      <c r="M78" s="941"/>
      <c r="N78" s="941"/>
    </row>
    <row r="79" spans="1:14" x14ac:dyDescent="0.25">
      <c r="A79" s="941"/>
      <c r="B79" s="941"/>
      <c r="C79" s="941"/>
      <c r="D79" s="941"/>
      <c r="E79" s="941"/>
      <c r="F79" s="941"/>
      <c r="G79" s="941"/>
      <c r="H79" s="941"/>
      <c r="I79" s="941"/>
      <c r="J79" s="941"/>
      <c r="K79" s="941"/>
      <c r="L79" s="941"/>
      <c r="M79" s="941"/>
      <c r="N79" s="941"/>
    </row>
    <row r="80" spans="1:14" x14ac:dyDescent="0.25">
      <c r="A80" s="941"/>
      <c r="B80" s="941"/>
      <c r="C80" s="941"/>
      <c r="D80" s="941"/>
      <c r="E80" s="941"/>
      <c r="F80" s="941"/>
      <c r="G80" s="941"/>
      <c r="H80" s="941"/>
      <c r="I80" s="941"/>
      <c r="J80" s="941"/>
      <c r="K80" s="941"/>
      <c r="L80" s="941"/>
      <c r="M80" s="941"/>
      <c r="N80" s="941"/>
    </row>
    <row r="81" spans="1:14" x14ac:dyDescent="0.25">
      <c r="A81" s="941"/>
      <c r="B81" s="941"/>
      <c r="C81" s="941"/>
      <c r="D81" s="941"/>
      <c r="E81" s="941"/>
      <c r="F81" s="941"/>
      <c r="G81" s="941"/>
      <c r="H81" s="941"/>
      <c r="I81" s="941"/>
      <c r="J81" s="941"/>
      <c r="K81" s="941"/>
      <c r="L81" s="941"/>
      <c r="M81" s="941"/>
      <c r="N81" s="941"/>
    </row>
    <row r="82" spans="1:14" x14ac:dyDescent="0.25">
      <c r="A82" s="941"/>
      <c r="B82" s="941"/>
      <c r="C82" s="941"/>
      <c r="D82" s="941"/>
      <c r="E82" s="941"/>
      <c r="F82" s="941"/>
      <c r="G82" s="941"/>
      <c r="H82" s="941"/>
      <c r="I82" s="941"/>
      <c r="J82" s="941"/>
      <c r="K82" s="941"/>
      <c r="L82" s="941"/>
      <c r="M82" s="941"/>
      <c r="N82" s="941"/>
    </row>
    <row r="83" spans="1:14" x14ac:dyDescent="0.25">
      <c r="A83" s="941"/>
      <c r="B83" s="941"/>
      <c r="C83" s="941"/>
      <c r="D83" s="941"/>
      <c r="E83" s="941"/>
      <c r="F83" s="941"/>
      <c r="G83" s="941"/>
      <c r="H83" s="941"/>
      <c r="I83" s="941"/>
      <c r="J83" s="941"/>
      <c r="K83" s="941"/>
      <c r="L83" s="941"/>
      <c r="M83" s="941"/>
      <c r="N83" s="941"/>
    </row>
    <row r="84" spans="1:14" x14ac:dyDescent="0.25">
      <c r="A84" s="941"/>
      <c r="B84" s="941"/>
      <c r="C84" s="941"/>
      <c r="D84" s="941"/>
      <c r="E84" s="941"/>
      <c r="F84" s="941"/>
      <c r="G84" s="941"/>
      <c r="H84" s="941"/>
      <c r="I84" s="941"/>
      <c r="J84" s="941"/>
      <c r="K84" s="941"/>
      <c r="L84" s="941"/>
      <c r="M84" s="941"/>
      <c r="N84" s="941"/>
    </row>
    <row r="85" spans="1:14" x14ac:dyDescent="0.25">
      <c r="A85" s="941"/>
      <c r="B85" s="941"/>
      <c r="C85" s="941"/>
      <c r="D85" s="941"/>
      <c r="E85" s="941"/>
      <c r="F85" s="941"/>
      <c r="G85" s="941"/>
      <c r="H85" s="941"/>
      <c r="I85" s="941"/>
      <c r="J85" s="941"/>
      <c r="K85" s="941"/>
      <c r="L85" s="941"/>
      <c r="M85" s="941"/>
      <c r="N85" s="941"/>
    </row>
    <row r="86" spans="1:14" x14ac:dyDescent="0.25">
      <c r="A86" s="941"/>
      <c r="B86" s="941"/>
      <c r="C86" s="941"/>
      <c r="D86" s="941"/>
      <c r="E86" s="941"/>
      <c r="F86" s="941"/>
      <c r="G86" s="941"/>
      <c r="H86" s="941"/>
      <c r="I86" s="941"/>
      <c r="J86" s="941"/>
      <c r="K86" s="941"/>
      <c r="L86" s="941"/>
      <c r="M86" s="941"/>
      <c r="N86" s="941"/>
    </row>
    <row r="87" spans="1:14" x14ac:dyDescent="0.25">
      <c r="A87" s="941"/>
      <c r="B87" s="941"/>
      <c r="C87" s="941"/>
      <c r="D87" s="941"/>
      <c r="E87" s="941"/>
      <c r="F87" s="941"/>
      <c r="G87" s="941"/>
      <c r="H87" s="941"/>
      <c r="I87" s="941"/>
      <c r="J87" s="941"/>
      <c r="K87" s="941"/>
      <c r="L87" s="941"/>
      <c r="M87" s="941"/>
      <c r="N87" s="941"/>
    </row>
    <row r="88" spans="1:14" x14ac:dyDescent="0.25">
      <c r="A88" s="941"/>
      <c r="B88" s="941"/>
      <c r="C88" s="941"/>
      <c r="D88" s="941"/>
      <c r="E88" s="941"/>
      <c r="F88" s="941"/>
      <c r="G88" s="941"/>
      <c r="H88" s="941"/>
      <c r="I88" s="941"/>
      <c r="J88" s="941"/>
      <c r="K88" s="941"/>
      <c r="L88" s="941"/>
      <c r="M88" s="941"/>
      <c r="N88" s="941"/>
    </row>
    <row r="89" spans="1:14" x14ac:dyDescent="0.25">
      <c r="A89" s="941"/>
      <c r="B89" s="941"/>
      <c r="C89" s="941"/>
      <c r="D89" s="941"/>
      <c r="E89" s="941"/>
      <c r="F89" s="941"/>
      <c r="G89" s="941"/>
      <c r="H89" s="941"/>
      <c r="I89" s="941"/>
      <c r="J89" s="941"/>
      <c r="K89" s="941"/>
      <c r="L89" s="941"/>
      <c r="M89" s="941"/>
      <c r="N89" s="941"/>
    </row>
    <row r="90" spans="1:14" x14ac:dyDescent="0.25">
      <c r="A90" s="941"/>
      <c r="B90" s="941"/>
      <c r="C90" s="941"/>
      <c r="D90" s="941"/>
      <c r="E90" s="941"/>
      <c r="F90" s="941"/>
      <c r="G90" s="941"/>
      <c r="H90" s="941"/>
      <c r="I90" s="941"/>
      <c r="J90" s="941"/>
      <c r="K90" s="941"/>
      <c r="L90" s="941"/>
      <c r="M90" s="941"/>
      <c r="N90" s="941"/>
    </row>
    <row r="91" spans="1:14" x14ac:dyDescent="0.25">
      <c r="A91" s="941"/>
      <c r="B91" s="941"/>
      <c r="C91" s="941"/>
      <c r="D91" s="941"/>
      <c r="E91" s="941"/>
      <c r="F91" s="941"/>
      <c r="G91" s="941"/>
      <c r="H91" s="941"/>
      <c r="I91" s="941"/>
      <c r="J91" s="941"/>
      <c r="K91" s="941"/>
      <c r="L91" s="941"/>
      <c r="M91" s="941"/>
      <c r="N91" s="941"/>
    </row>
    <row r="92" spans="1:14" x14ac:dyDescent="0.25">
      <c r="A92" s="941"/>
      <c r="B92" s="941"/>
      <c r="C92" s="941"/>
      <c r="D92" s="941"/>
      <c r="E92" s="941"/>
      <c r="F92" s="941"/>
      <c r="G92" s="941"/>
      <c r="H92" s="941"/>
      <c r="I92" s="941"/>
      <c r="J92" s="941"/>
      <c r="K92" s="941"/>
      <c r="L92" s="941"/>
      <c r="M92" s="941"/>
      <c r="N92" s="941"/>
    </row>
    <row r="93" spans="1:14" x14ac:dyDescent="0.25">
      <c r="A93" s="941"/>
      <c r="B93" s="941"/>
      <c r="C93" s="941"/>
      <c r="D93" s="941"/>
      <c r="E93" s="941"/>
      <c r="F93" s="941"/>
      <c r="G93" s="941"/>
      <c r="H93" s="941"/>
      <c r="I93" s="941"/>
      <c r="J93" s="941"/>
      <c r="K93" s="941"/>
      <c r="L93" s="941"/>
      <c r="M93" s="941"/>
      <c r="N93" s="941"/>
    </row>
    <row r="94" spans="1:14" x14ac:dyDescent="0.25">
      <c r="A94" s="941"/>
      <c r="B94" s="941"/>
      <c r="C94" s="941"/>
      <c r="D94" s="941"/>
      <c r="E94" s="941"/>
      <c r="F94" s="941"/>
      <c r="G94" s="941"/>
      <c r="H94" s="941"/>
      <c r="I94" s="941"/>
      <c r="J94" s="941"/>
      <c r="K94" s="941"/>
      <c r="L94" s="941"/>
      <c r="M94" s="941"/>
      <c r="N94" s="941"/>
    </row>
    <row r="95" spans="1:14" x14ac:dyDescent="0.25">
      <c r="A95" s="941"/>
      <c r="B95" s="941"/>
      <c r="C95" s="941"/>
      <c r="D95" s="941"/>
      <c r="E95" s="941"/>
      <c r="F95" s="941"/>
      <c r="G95" s="941"/>
      <c r="H95" s="941"/>
      <c r="I95" s="941"/>
      <c r="J95" s="941"/>
      <c r="K95" s="941"/>
      <c r="L95" s="941"/>
      <c r="M95" s="941"/>
      <c r="N95" s="941"/>
    </row>
    <row r="96" spans="1:14" x14ac:dyDescent="0.25">
      <c r="A96" s="941"/>
      <c r="B96" s="941"/>
      <c r="C96" s="941"/>
      <c r="D96" s="941"/>
      <c r="E96" s="941"/>
      <c r="F96" s="941"/>
      <c r="G96" s="941"/>
      <c r="H96" s="941"/>
      <c r="I96" s="941"/>
      <c r="J96" s="941"/>
      <c r="K96" s="941"/>
      <c r="L96" s="941"/>
      <c r="M96" s="941"/>
      <c r="N96" s="941"/>
    </row>
    <row r="97" spans="1:14" x14ac:dyDescent="0.25">
      <c r="A97" s="941"/>
      <c r="B97" s="941"/>
      <c r="C97" s="941"/>
      <c r="D97" s="941"/>
      <c r="E97" s="941"/>
      <c r="F97" s="941"/>
      <c r="G97" s="941"/>
      <c r="H97" s="941"/>
      <c r="I97" s="941"/>
      <c r="J97" s="941"/>
      <c r="K97" s="941"/>
      <c r="L97" s="941"/>
      <c r="M97" s="941"/>
      <c r="N97" s="941"/>
    </row>
    <row r="98" spans="1:14" x14ac:dyDescent="0.25">
      <c r="A98" s="941"/>
      <c r="B98" s="941"/>
      <c r="C98" s="941"/>
      <c r="D98" s="941"/>
      <c r="E98" s="941"/>
      <c r="F98" s="941"/>
      <c r="G98" s="941"/>
      <c r="H98" s="941"/>
      <c r="I98" s="941"/>
      <c r="J98" s="941"/>
      <c r="K98" s="941"/>
      <c r="L98" s="941"/>
      <c r="M98" s="941"/>
      <c r="N98" s="941"/>
    </row>
    <row r="99" spans="1:14" x14ac:dyDescent="0.25">
      <c r="A99" s="941"/>
      <c r="B99" s="941"/>
      <c r="C99" s="941"/>
      <c r="D99" s="941"/>
      <c r="E99" s="941"/>
      <c r="F99" s="941"/>
      <c r="G99" s="941"/>
      <c r="H99" s="941"/>
      <c r="I99" s="941"/>
      <c r="J99" s="941"/>
      <c r="K99" s="941"/>
      <c r="L99" s="941"/>
      <c r="M99" s="941"/>
      <c r="N99" s="941"/>
    </row>
    <row r="100" spans="1:14" x14ac:dyDescent="0.25">
      <c r="A100" s="941"/>
      <c r="B100" s="941"/>
      <c r="C100" s="941"/>
      <c r="D100" s="941"/>
      <c r="E100" s="941"/>
      <c r="F100" s="941"/>
      <c r="G100" s="941"/>
      <c r="H100" s="941"/>
      <c r="I100" s="941"/>
      <c r="J100" s="941"/>
      <c r="K100" s="941"/>
      <c r="L100" s="941"/>
      <c r="M100" s="941"/>
      <c r="N100" s="941"/>
    </row>
    <row r="101" spans="1:14" x14ac:dyDescent="0.25">
      <c r="A101" s="941"/>
      <c r="B101" s="941"/>
      <c r="C101" s="941"/>
      <c r="D101" s="941"/>
      <c r="E101" s="941"/>
      <c r="F101" s="941"/>
      <c r="G101" s="941"/>
      <c r="H101" s="941"/>
      <c r="I101" s="941"/>
      <c r="J101" s="941"/>
      <c r="K101" s="941"/>
      <c r="L101" s="941"/>
      <c r="M101" s="941"/>
      <c r="N101" s="941"/>
    </row>
    <row r="102" spans="1:14" x14ac:dyDescent="0.25">
      <c r="A102" s="941"/>
      <c r="B102" s="941"/>
      <c r="C102" s="941"/>
      <c r="D102" s="941"/>
      <c r="E102" s="941"/>
      <c r="F102" s="941"/>
      <c r="G102" s="941"/>
      <c r="H102" s="941"/>
      <c r="I102" s="941"/>
      <c r="J102" s="941"/>
      <c r="K102" s="941"/>
      <c r="L102" s="941"/>
      <c r="M102" s="941"/>
      <c r="N102" s="941"/>
    </row>
    <row r="103" spans="1:14" x14ac:dyDescent="0.25">
      <c r="A103" s="941"/>
      <c r="B103" s="941"/>
      <c r="C103" s="941"/>
      <c r="D103" s="941"/>
      <c r="E103" s="941"/>
      <c r="F103" s="941"/>
      <c r="G103" s="941"/>
      <c r="H103" s="941"/>
      <c r="I103" s="941"/>
      <c r="J103" s="941"/>
      <c r="K103" s="941"/>
      <c r="L103" s="941"/>
      <c r="M103" s="941"/>
      <c r="N103" s="941"/>
    </row>
    <row r="104" spans="1:14" x14ac:dyDescent="0.25">
      <c r="A104" s="941"/>
      <c r="B104" s="941"/>
      <c r="C104" s="941"/>
      <c r="D104" s="941"/>
      <c r="E104" s="941"/>
      <c r="F104" s="941"/>
      <c r="G104" s="941"/>
      <c r="H104" s="941"/>
      <c r="I104" s="941"/>
      <c r="J104" s="941"/>
      <c r="K104" s="941"/>
      <c r="L104" s="941"/>
      <c r="M104" s="941"/>
      <c r="N104" s="941"/>
    </row>
    <row r="105" spans="1:14" x14ac:dyDescent="0.25">
      <c r="A105" s="941"/>
      <c r="B105" s="941"/>
      <c r="C105" s="941"/>
      <c r="D105" s="941"/>
      <c r="E105" s="941"/>
      <c r="F105" s="941"/>
      <c r="G105" s="941"/>
      <c r="H105" s="941"/>
      <c r="I105" s="941"/>
      <c r="J105" s="941"/>
      <c r="K105" s="941"/>
      <c r="L105" s="941"/>
      <c r="M105" s="941"/>
      <c r="N105" s="941"/>
    </row>
    <row r="106" spans="1:14" x14ac:dyDescent="0.25">
      <c r="A106" s="941"/>
      <c r="B106" s="941"/>
      <c r="C106" s="941"/>
      <c r="D106" s="941"/>
      <c r="E106" s="941"/>
      <c r="F106" s="941"/>
      <c r="G106" s="941"/>
      <c r="H106" s="941"/>
      <c r="I106" s="941"/>
      <c r="J106" s="941"/>
      <c r="K106" s="941"/>
      <c r="L106" s="941"/>
      <c r="M106" s="941"/>
      <c r="N106" s="941"/>
    </row>
    <row r="107" spans="1:14" x14ac:dyDescent="0.25">
      <c r="A107" s="941"/>
      <c r="B107" s="941"/>
      <c r="C107" s="941"/>
      <c r="D107" s="941"/>
      <c r="E107" s="941"/>
      <c r="F107" s="941"/>
      <c r="G107" s="941"/>
      <c r="H107" s="941"/>
      <c r="I107" s="941"/>
      <c r="J107" s="941"/>
      <c r="K107" s="941"/>
      <c r="L107" s="941"/>
      <c r="M107" s="941"/>
      <c r="N107" s="941"/>
    </row>
    <row r="108" spans="1:14" x14ac:dyDescent="0.25">
      <c r="A108" s="941"/>
      <c r="B108" s="941"/>
      <c r="C108" s="941"/>
      <c r="D108" s="941"/>
      <c r="E108" s="941"/>
      <c r="F108" s="941"/>
      <c r="G108" s="941"/>
      <c r="H108" s="941"/>
      <c r="I108" s="941"/>
      <c r="J108" s="941"/>
      <c r="K108" s="941"/>
      <c r="L108" s="941"/>
      <c r="M108" s="941"/>
      <c r="N108" s="941"/>
    </row>
    <row r="109" spans="1:14" x14ac:dyDescent="0.25">
      <c r="A109" s="941"/>
      <c r="B109" s="941"/>
      <c r="C109" s="941"/>
      <c r="D109" s="941"/>
      <c r="E109" s="941"/>
      <c r="F109" s="941"/>
      <c r="G109" s="941"/>
      <c r="H109" s="941"/>
      <c r="I109" s="941"/>
      <c r="J109" s="941"/>
      <c r="K109" s="941"/>
      <c r="L109" s="941"/>
      <c r="M109" s="941"/>
      <c r="N109" s="941"/>
    </row>
    <row r="110" spans="1:14" x14ac:dyDescent="0.25">
      <c r="A110" s="941"/>
      <c r="B110" s="941"/>
      <c r="C110" s="941"/>
      <c r="D110" s="941"/>
      <c r="E110" s="941"/>
      <c r="F110" s="941"/>
      <c r="G110" s="941"/>
      <c r="H110" s="941"/>
      <c r="I110" s="941"/>
      <c r="J110" s="941"/>
      <c r="K110" s="941"/>
      <c r="L110" s="941"/>
      <c r="M110" s="941"/>
      <c r="N110" s="941"/>
    </row>
    <row r="111" spans="1:14" x14ac:dyDescent="0.25">
      <c r="A111" s="941"/>
      <c r="B111" s="941"/>
      <c r="C111" s="941"/>
      <c r="D111" s="941"/>
      <c r="E111" s="941"/>
      <c r="F111" s="941"/>
      <c r="G111" s="941"/>
      <c r="H111" s="941"/>
      <c r="I111" s="941"/>
      <c r="J111" s="941"/>
      <c r="K111" s="941"/>
      <c r="L111" s="941"/>
      <c r="M111" s="941"/>
      <c r="N111" s="941"/>
    </row>
    <row r="112" spans="1:14" x14ac:dyDescent="0.25">
      <c r="A112" s="941"/>
      <c r="B112" s="941"/>
      <c r="C112" s="941"/>
      <c r="D112" s="941"/>
      <c r="E112" s="941"/>
      <c r="F112" s="941"/>
      <c r="G112" s="941"/>
      <c r="H112" s="941"/>
      <c r="I112" s="941"/>
      <c r="J112" s="941"/>
      <c r="K112" s="941"/>
      <c r="L112" s="941"/>
      <c r="M112" s="941"/>
      <c r="N112" s="941"/>
    </row>
    <row r="113" spans="1:14" x14ac:dyDescent="0.25">
      <c r="A113" s="941"/>
      <c r="B113" s="941"/>
      <c r="C113" s="941"/>
      <c r="D113" s="941"/>
      <c r="E113" s="941"/>
      <c r="F113" s="941"/>
      <c r="G113" s="941"/>
      <c r="H113" s="941"/>
      <c r="I113" s="941"/>
      <c r="J113" s="941"/>
      <c r="K113" s="941"/>
      <c r="L113" s="941"/>
      <c r="M113" s="941"/>
      <c r="N113" s="941"/>
    </row>
    <row r="114" spans="1:14" x14ac:dyDescent="0.25">
      <c r="A114" s="941"/>
      <c r="B114" s="941"/>
      <c r="C114" s="941"/>
      <c r="D114" s="941"/>
      <c r="E114" s="941"/>
      <c r="F114" s="941"/>
      <c r="G114" s="941"/>
      <c r="H114" s="941"/>
      <c r="I114" s="941"/>
      <c r="J114" s="941"/>
      <c r="K114" s="941"/>
      <c r="L114" s="941"/>
      <c r="M114" s="941"/>
      <c r="N114" s="941"/>
    </row>
    <row r="115" spans="1:14" x14ac:dyDescent="0.25">
      <c r="A115" s="941"/>
      <c r="B115" s="941"/>
      <c r="C115" s="941"/>
      <c r="D115" s="941"/>
      <c r="E115" s="941"/>
      <c r="F115" s="941"/>
      <c r="G115" s="941"/>
      <c r="H115" s="941"/>
      <c r="I115" s="941"/>
      <c r="J115" s="941"/>
      <c r="K115" s="941"/>
      <c r="L115" s="941"/>
      <c r="M115" s="941"/>
      <c r="N115" s="941"/>
    </row>
    <row r="116" spans="1:14" x14ac:dyDescent="0.25">
      <c r="A116" s="941"/>
      <c r="B116" s="941"/>
      <c r="C116" s="941"/>
      <c r="D116" s="941"/>
      <c r="E116" s="941"/>
      <c r="F116" s="941"/>
      <c r="G116" s="941"/>
      <c r="H116" s="941"/>
      <c r="I116" s="941"/>
      <c r="J116" s="941"/>
      <c r="K116" s="941"/>
      <c r="L116" s="941"/>
      <c r="M116" s="941"/>
      <c r="N116" s="941"/>
    </row>
    <row r="117" spans="1:14" x14ac:dyDescent="0.25">
      <c r="A117" s="941"/>
      <c r="B117" s="941"/>
      <c r="C117" s="941"/>
      <c r="D117" s="941"/>
      <c r="E117" s="941"/>
      <c r="F117" s="941"/>
      <c r="G117" s="941"/>
      <c r="H117" s="941"/>
      <c r="I117" s="941"/>
      <c r="J117" s="941"/>
      <c r="K117" s="941"/>
      <c r="L117" s="941"/>
      <c r="M117" s="941"/>
      <c r="N117" s="941"/>
    </row>
    <row r="118" spans="1:14" x14ac:dyDescent="0.25">
      <c r="A118" s="941"/>
      <c r="B118" s="941"/>
      <c r="C118" s="941"/>
      <c r="D118" s="941"/>
      <c r="E118" s="941"/>
      <c r="F118" s="941"/>
      <c r="G118" s="941"/>
      <c r="H118" s="941"/>
      <c r="I118" s="941"/>
      <c r="J118" s="941"/>
      <c r="K118" s="941"/>
      <c r="L118" s="941"/>
      <c r="M118" s="941"/>
      <c r="N118" s="941"/>
    </row>
    <row r="119" spans="1:14" x14ac:dyDescent="0.25">
      <c r="A119" s="941"/>
      <c r="B119" s="941"/>
      <c r="C119" s="941"/>
      <c r="D119" s="941"/>
      <c r="E119" s="941"/>
      <c r="F119" s="941"/>
      <c r="G119" s="941"/>
      <c r="H119" s="941"/>
      <c r="I119" s="941"/>
      <c r="J119" s="941"/>
      <c r="K119" s="941"/>
      <c r="L119" s="941"/>
      <c r="M119" s="941"/>
      <c r="N119" s="941"/>
    </row>
    <row r="120" spans="1:14" x14ac:dyDescent="0.25">
      <c r="A120" s="941"/>
      <c r="B120" s="941"/>
      <c r="C120" s="941"/>
      <c r="D120" s="941"/>
      <c r="E120" s="941"/>
      <c r="F120" s="941"/>
      <c r="G120" s="941"/>
      <c r="H120" s="941"/>
      <c r="I120" s="941"/>
      <c r="J120" s="941"/>
      <c r="K120" s="941"/>
      <c r="L120" s="941"/>
      <c r="M120" s="941"/>
      <c r="N120" s="941"/>
    </row>
    <row r="121" spans="1:14" x14ac:dyDescent="0.25">
      <c r="A121" s="941"/>
      <c r="B121" s="941"/>
      <c r="C121" s="941"/>
      <c r="D121" s="941"/>
      <c r="E121" s="941"/>
      <c r="F121" s="941"/>
      <c r="G121" s="941"/>
      <c r="H121" s="941"/>
      <c r="I121" s="941"/>
      <c r="J121" s="941"/>
      <c r="K121" s="941"/>
      <c r="L121" s="941"/>
      <c r="M121" s="941"/>
      <c r="N121" s="941"/>
    </row>
    <row r="122" spans="1:14" x14ac:dyDescent="0.25">
      <c r="A122" s="941"/>
      <c r="B122" s="941"/>
      <c r="C122" s="941"/>
      <c r="D122" s="941"/>
      <c r="E122" s="941"/>
      <c r="F122" s="941"/>
      <c r="G122" s="941"/>
      <c r="H122" s="941"/>
      <c r="I122" s="941"/>
      <c r="J122" s="941"/>
      <c r="K122" s="941"/>
      <c r="L122" s="941"/>
      <c r="M122" s="941"/>
      <c r="N122" s="941"/>
    </row>
    <row r="123" spans="1:14" x14ac:dyDescent="0.25">
      <c r="A123" s="941"/>
      <c r="B123" s="941"/>
      <c r="C123" s="941"/>
      <c r="D123" s="941"/>
      <c r="E123" s="941"/>
      <c r="F123" s="941"/>
      <c r="G123" s="941"/>
      <c r="H123" s="941"/>
      <c r="I123" s="941"/>
      <c r="J123" s="941"/>
      <c r="K123" s="941"/>
      <c r="L123" s="941"/>
      <c r="M123" s="941"/>
      <c r="N123" s="941"/>
    </row>
    <row r="124" spans="1:14" x14ac:dyDescent="0.25">
      <c r="A124" s="941"/>
      <c r="B124" s="941"/>
      <c r="C124" s="941"/>
      <c r="D124" s="941"/>
      <c r="E124" s="941"/>
      <c r="F124" s="941"/>
      <c r="G124" s="941"/>
      <c r="H124" s="941"/>
      <c r="I124" s="941"/>
      <c r="J124" s="941"/>
      <c r="K124" s="941"/>
      <c r="L124" s="941"/>
      <c r="M124" s="941"/>
      <c r="N124" s="941"/>
    </row>
    <row r="125" spans="1:14" x14ac:dyDescent="0.25">
      <c r="A125" s="941"/>
      <c r="B125" s="941"/>
      <c r="C125" s="941"/>
      <c r="D125" s="941"/>
      <c r="E125" s="941"/>
      <c r="F125" s="941"/>
      <c r="G125" s="941"/>
      <c r="H125" s="941"/>
      <c r="I125" s="941"/>
      <c r="J125" s="941"/>
      <c r="K125" s="941"/>
      <c r="L125" s="941"/>
      <c r="M125" s="941"/>
      <c r="N125" s="941"/>
    </row>
    <row r="126" spans="1:14" x14ac:dyDescent="0.25">
      <c r="A126" s="941"/>
      <c r="B126" s="941"/>
      <c r="C126" s="941"/>
      <c r="D126" s="941"/>
      <c r="E126" s="941"/>
      <c r="F126" s="941"/>
      <c r="G126" s="941"/>
      <c r="H126" s="941"/>
      <c r="I126" s="941"/>
      <c r="J126" s="941"/>
      <c r="K126" s="941"/>
      <c r="L126" s="941"/>
      <c r="M126" s="941"/>
      <c r="N126" s="941"/>
    </row>
    <row r="127" spans="1:14" x14ac:dyDescent="0.25">
      <c r="A127" s="941"/>
      <c r="B127" s="941"/>
      <c r="C127" s="941"/>
      <c r="D127" s="941"/>
      <c r="E127" s="941"/>
      <c r="F127" s="941"/>
      <c r="G127" s="941"/>
      <c r="H127" s="941"/>
      <c r="I127" s="941"/>
      <c r="J127" s="941"/>
      <c r="K127" s="941"/>
      <c r="L127" s="941"/>
      <c r="M127" s="941"/>
      <c r="N127" s="941"/>
    </row>
    <row r="128" spans="1:14" x14ac:dyDescent="0.25">
      <c r="A128" s="941"/>
      <c r="B128" s="941"/>
      <c r="C128" s="941"/>
      <c r="D128" s="941"/>
      <c r="E128" s="941"/>
      <c r="F128" s="941"/>
      <c r="G128" s="941"/>
      <c r="H128" s="941"/>
      <c r="I128" s="941"/>
      <c r="J128" s="941"/>
      <c r="K128" s="941"/>
      <c r="L128" s="941"/>
      <c r="M128" s="941"/>
      <c r="N128" s="941"/>
    </row>
    <row r="129" spans="1:14" x14ac:dyDescent="0.25">
      <c r="A129" s="941"/>
      <c r="B129" s="941"/>
      <c r="C129" s="941"/>
      <c r="D129" s="941"/>
      <c r="E129" s="941"/>
      <c r="F129" s="941"/>
      <c r="G129" s="941"/>
      <c r="H129" s="941"/>
      <c r="I129" s="941"/>
      <c r="J129" s="941"/>
      <c r="K129" s="941"/>
      <c r="L129" s="941"/>
      <c r="M129" s="941"/>
      <c r="N129" s="941"/>
    </row>
    <row r="130" spans="1:14" x14ac:dyDescent="0.25">
      <c r="A130" s="941"/>
      <c r="B130" s="941"/>
      <c r="C130" s="941"/>
      <c r="D130" s="941"/>
      <c r="E130" s="941"/>
      <c r="F130" s="941"/>
      <c r="G130" s="941"/>
      <c r="H130" s="941"/>
      <c r="I130" s="941"/>
      <c r="J130" s="941"/>
      <c r="K130" s="941"/>
      <c r="L130" s="941"/>
      <c r="M130" s="941"/>
      <c r="N130" s="941"/>
    </row>
    <row r="131" spans="1:14" x14ac:dyDescent="0.25">
      <c r="A131" s="941"/>
      <c r="B131" s="941"/>
      <c r="C131" s="941"/>
      <c r="D131" s="941"/>
      <c r="E131" s="941"/>
      <c r="F131" s="941"/>
      <c r="G131" s="941"/>
      <c r="H131" s="941"/>
      <c r="I131" s="941"/>
      <c r="J131" s="941"/>
      <c r="K131" s="941"/>
      <c r="L131" s="941"/>
      <c r="M131" s="941"/>
      <c r="N131" s="941"/>
    </row>
    <row r="132" spans="1:14" x14ac:dyDescent="0.25">
      <c r="A132" s="941"/>
      <c r="B132" s="941"/>
      <c r="C132" s="941"/>
      <c r="D132" s="941"/>
      <c r="E132" s="941"/>
      <c r="F132" s="941"/>
      <c r="G132" s="941"/>
      <c r="H132" s="941"/>
      <c r="I132" s="941"/>
      <c r="J132" s="941"/>
      <c r="K132" s="941"/>
      <c r="L132" s="941"/>
      <c r="M132" s="941"/>
      <c r="N132" s="941"/>
    </row>
    <row r="133" spans="1:14" x14ac:dyDescent="0.25">
      <c r="A133" s="941"/>
      <c r="B133" s="941"/>
      <c r="C133" s="941"/>
      <c r="D133" s="941"/>
      <c r="E133" s="941"/>
      <c r="F133" s="941"/>
      <c r="G133" s="941"/>
      <c r="H133" s="941"/>
      <c r="I133" s="941"/>
      <c r="J133" s="941"/>
      <c r="K133" s="941"/>
      <c r="L133" s="941"/>
      <c r="M133" s="941"/>
      <c r="N133" s="941"/>
    </row>
    <row r="134" spans="1:14" x14ac:dyDescent="0.25">
      <c r="A134" s="941"/>
      <c r="B134" s="941"/>
      <c r="C134" s="941"/>
      <c r="D134" s="941"/>
      <c r="E134" s="941"/>
      <c r="F134" s="941"/>
      <c r="G134" s="941"/>
      <c r="H134" s="941"/>
      <c r="I134" s="941"/>
      <c r="J134" s="941"/>
      <c r="K134" s="941"/>
      <c r="L134" s="941"/>
      <c r="M134" s="941"/>
      <c r="N134" s="941"/>
    </row>
    <row r="135" spans="1:14" x14ac:dyDescent="0.25">
      <c r="A135" s="941"/>
      <c r="B135" s="941"/>
      <c r="C135" s="941"/>
      <c r="D135" s="941"/>
      <c r="E135" s="941"/>
      <c r="F135" s="941"/>
      <c r="G135" s="941"/>
      <c r="H135" s="941"/>
      <c r="I135" s="941"/>
      <c r="J135" s="941"/>
      <c r="K135" s="941"/>
      <c r="L135" s="941"/>
      <c r="M135" s="941"/>
      <c r="N135" s="941"/>
    </row>
    <row r="136" spans="1:14" x14ac:dyDescent="0.25">
      <c r="A136" s="941"/>
      <c r="B136" s="941"/>
      <c r="C136" s="941"/>
      <c r="D136" s="941"/>
      <c r="E136" s="941"/>
      <c r="F136" s="941"/>
      <c r="G136" s="941"/>
      <c r="H136" s="941"/>
      <c r="I136" s="941"/>
      <c r="J136" s="941"/>
      <c r="K136" s="941"/>
      <c r="L136" s="941"/>
      <c r="M136" s="941"/>
      <c r="N136" s="941"/>
    </row>
    <row r="137" spans="1:14" x14ac:dyDescent="0.25">
      <c r="A137" s="941"/>
      <c r="B137" s="941"/>
      <c r="C137" s="941"/>
      <c r="D137" s="941"/>
      <c r="E137" s="941"/>
      <c r="F137" s="941"/>
      <c r="G137" s="941"/>
      <c r="H137" s="941"/>
      <c r="I137" s="941"/>
      <c r="J137" s="941"/>
      <c r="K137" s="941"/>
      <c r="L137" s="941"/>
      <c r="M137" s="941"/>
      <c r="N137" s="941"/>
    </row>
    <row r="138" spans="1:14" x14ac:dyDescent="0.25">
      <c r="A138" s="941"/>
      <c r="B138" s="941"/>
      <c r="C138" s="941"/>
      <c r="D138" s="941"/>
      <c r="E138" s="941"/>
      <c r="F138" s="941"/>
      <c r="G138" s="941"/>
      <c r="H138" s="941"/>
      <c r="I138" s="941"/>
      <c r="J138" s="941"/>
      <c r="K138" s="941"/>
      <c r="L138" s="941"/>
      <c r="M138" s="941"/>
      <c r="N138" s="941"/>
    </row>
    <row r="139" spans="1:14" x14ac:dyDescent="0.25">
      <c r="A139" s="941"/>
      <c r="B139" s="941"/>
      <c r="C139" s="941"/>
      <c r="D139" s="941"/>
      <c r="E139" s="941"/>
      <c r="F139" s="941"/>
      <c r="G139" s="941"/>
      <c r="H139" s="941"/>
      <c r="I139" s="941"/>
      <c r="J139" s="941"/>
      <c r="K139" s="941"/>
      <c r="L139" s="941"/>
      <c r="M139" s="941"/>
      <c r="N139" s="941"/>
    </row>
    <row r="140" spans="1:14" x14ac:dyDescent="0.25">
      <c r="A140" s="941"/>
      <c r="B140" s="941"/>
      <c r="C140" s="941"/>
      <c r="D140" s="941"/>
      <c r="E140" s="941"/>
      <c r="F140" s="941"/>
      <c r="G140" s="941"/>
      <c r="H140" s="941"/>
      <c r="I140" s="941"/>
      <c r="J140" s="941"/>
      <c r="K140" s="941"/>
      <c r="L140" s="941"/>
      <c r="M140" s="941"/>
      <c r="N140" s="941"/>
    </row>
    <row r="141" spans="1:14" x14ac:dyDescent="0.25">
      <c r="A141" s="941"/>
      <c r="B141" s="941"/>
      <c r="C141" s="941"/>
      <c r="D141" s="941"/>
      <c r="E141" s="941"/>
      <c r="F141" s="941"/>
      <c r="G141" s="941"/>
      <c r="H141" s="941"/>
      <c r="I141" s="941"/>
      <c r="J141" s="941"/>
      <c r="K141" s="941"/>
      <c r="L141" s="941"/>
      <c r="M141" s="941"/>
      <c r="N141" s="941"/>
    </row>
    <row r="142" spans="1:14" x14ac:dyDescent="0.25">
      <c r="A142" s="941"/>
      <c r="B142" s="941"/>
      <c r="C142" s="941"/>
      <c r="D142" s="941"/>
      <c r="E142" s="941"/>
      <c r="F142" s="941"/>
      <c r="G142" s="941"/>
      <c r="H142" s="941"/>
      <c r="I142" s="941"/>
      <c r="J142" s="941"/>
      <c r="K142" s="941"/>
      <c r="L142" s="941"/>
      <c r="M142" s="941"/>
      <c r="N142" s="941"/>
    </row>
    <row r="143" spans="1:14" x14ac:dyDescent="0.25">
      <c r="A143" s="941"/>
      <c r="B143" s="941"/>
      <c r="C143" s="941"/>
      <c r="D143" s="941"/>
      <c r="E143" s="941"/>
      <c r="F143" s="941"/>
      <c r="G143" s="941"/>
      <c r="H143" s="941"/>
      <c r="I143" s="941"/>
      <c r="J143" s="941"/>
      <c r="K143" s="941"/>
      <c r="L143" s="941"/>
      <c r="M143" s="941"/>
      <c r="N143" s="941"/>
    </row>
    <row r="144" spans="1:14" x14ac:dyDescent="0.25">
      <c r="A144" s="941"/>
      <c r="B144" s="941"/>
      <c r="C144" s="941"/>
      <c r="D144" s="941"/>
      <c r="E144" s="941"/>
      <c r="F144" s="941"/>
      <c r="G144" s="941"/>
      <c r="H144" s="941"/>
      <c r="I144" s="941"/>
      <c r="J144" s="941"/>
      <c r="K144" s="941"/>
      <c r="L144" s="941"/>
      <c r="M144" s="941"/>
      <c r="N144" s="941"/>
    </row>
    <row r="145" spans="1:14" x14ac:dyDescent="0.25">
      <c r="A145" s="941"/>
      <c r="B145" s="941"/>
      <c r="C145" s="941"/>
      <c r="D145" s="941"/>
      <c r="E145" s="941"/>
      <c r="F145" s="941"/>
      <c r="G145" s="941"/>
      <c r="H145" s="941"/>
      <c r="I145" s="941"/>
      <c r="J145" s="941"/>
      <c r="K145" s="941"/>
      <c r="L145" s="941"/>
      <c r="M145" s="941"/>
      <c r="N145" s="941"/>
    </row>
    <row r="146" spans="1:14" x14ac:dyDescent="0.25">
      <c r="A146" s="941"/>
      <c r="B146" s="941"/>
      <c r="C146" s="941"/>
      <c r="D146" s="941"/>
      <c r="E146" s="941"/>
      <c r="F146" s="941"/>
      <c r="G146" s="941"/>
      <c r="H146" s="941"/>
      <c r="I146" s="941"/>
      <c r="J146" s="941"/>
      <c r="K146" s="941"/>
      <c r="L146" s="941"/>
      <c r="M146" s="941"/>
      <c r="N146" s="941"/>
    </row>
    <row r="147" spans="1:14" x14ac:dyDescent="0.25">
      <c r="A147" s="941"/>
      <c r="B147" s="941"/>
      <c r="C147" s="941"/>
      <c r="D147" s="941"/>
      <c r="E147" s="941"/>
      <c r="F147" s="941"/>
      <c r="G147" s="941"/>
      <c r="H147" s="941"/>
      <c r="I147" s="941"/>
      <c r="J147" s="941"/>
      <c r="K147" s="941"/>
      <c r="L147" s="941"/>
      <c r="M147" s="941"/>
      <c r="N147" s="941"/>
    </row>
    <row r="148" spans="1:14" x14ac:dyDescent="0.25">
      <c r="A148" s="941"/>
      <c r="B148" s="941"/>
      <c r="C148" s="941"/>
      <c r="D148" s="941"/>
      <c r="E148" s="941"/>
      <c r="F148" s="941"/>
      <c r="G148" s="941"/>
      <c r="H148" s="941"/>
      <c r="I148" s="941"/>
      <c r="J148" s="941"/>
      <c r="K148" s="941"/>
      <c r="L148" s="941"/>
      <c r="M148" s="941"/>
      <c r="N148" s="941"/>
    </row>
    <row r="149" spans="1:14" x14ac:dyDescent="0.25">
      <c r="A149" s="941"/>
      <c r="B149" s="941"/>
      <c r="C149" s="941"/>
      <c r="D149" s="941"/>
      <c r="E149" s="941"/>
      <c r="F149" s="941"/>
      <c r="G149" s="941"/>
      <c r="H149" s="941"/>
      <c r="I149" s="941"/>
      <c r="J149" s="941"/>
      <c r="K149" s="941"/>
      <c r="L149" s="941"/>
      <c r="M149" s="941"/>
      <c r="N149" s="941"/>
    </row>
    <row r="150" spans="1:14" x14ac:dyDescent="0.25">
      <c r="A150" s="941"/>
      <c r="B150" s="941"/>
      <c r="C150" s="941"/>
      <c r="D150" s="941"/>
      <c r="E150" s="941"/>
      <c r="F150" s="941"/>
      <c r="G150" s="941"/>
      <c r="H150" s="941"/>
      <c r="I150" s="941"/>
      <c r="J150" s="941"/>
      <c r="K150" s="941"/>
      <c r="L150" s="941"/>
      <c r="M150" s="941"/>
      <c r="N150" s="941"/>
    </row>
    <row r="151" spans="1:14" x14ac:dyDescent="0.25">
      <c r="A151" s="941"/>
      <c r="B151" s="941"/>
      <c r="C151" s="941"/>
      <c r="D151" s="941"/>
      <c r="E151" s="941"/>
      <c r="F151" s="941"/>
      <c r="G151" s="941"/>
      <c r="H151" s="941"/>
      <c r="I151" s="941"/>
      <c r="J151" s="941"/>
      <c r="K151" s="941"/>
      <c r="L151" s="941"/>
      <c r="M151" s="941"/>
      <c r="N151" s="941"/>
    </row>
    <row r="152" spans="1:14" x14ac:dyDescent="0.25">
      <c r="A152" s="941"/>
      <c r="B152" s="941"/>
      <c r="C152" s="941"/>
      <c r="D152" s="941"/>
      <c r="E152" s="941"/>
      <c r="F152" s="941"/>
      <c r="G152" s="941"/>
      <c r="H152" s="941"/>
      <c r="I152" s="941"/>
      <c r="J152" s="941"/>
      <c r="K152" s="941"/>
      <c r="L152" s="941"/>
      <c r="M152" s="941"/>
      <c r="N152" s="941"/>
    </row>
    <row r="153" spans="1:14" x14ac:dyDescent="0.25">
      <c r="A153" s="941"/>
      <c r="B153" s="941"/>
      <c r="C153" s="941"/>
      <c r="D153" s="941"/>
      <c r="E153" s="941"/>
      <c r="F153" s="941"/>
      <c r="G153" s="941"/>
      <c r="H153" s="941"/>
      <c r="I153" s="941"/>
      <c r="J153" s="941"/>
      <c r="K153" s="941"/>
      <c r="L153" s="941"/>
      <c r="M153" s="941"/>
      <c r="N153" s="941"/>
    </row>
    <row r="154" spans="1:14" x14ac:dyDescent="0.25">
      <c r="A154" s="941"/>
      <c r="B154" s="941"/>
      <c r="C154" s="941"/>
      <c r="D154" s="941"/>
      <c r="E154" s="941"/>
      <c r="F154" s="941"/>
      <c r="G154" s="941"/>
      <c r="H154" s="941"/>
      <c r="I154" s="941"/>
      <c r="J154" s="941"/>
      <c r="K154" s="941"/>
      <c r="L154" s="941"/>
      <c r="M154" s="941"/>
      <c r="N154" s="941"/>
    </row>
    <row r="155" spans="1:14" x14ac:dyDescent="0.25">
      <c r="A155" s="941"/>
      <c r="B155" s="941"/>
      <c r="C155" s="941"/>
      <c r="D155" s="941"/>
      <c r="E155" s="941"/>
      <c r="F155" s="941"/>
      <c r="G155" s="941"/>
      <c r="H155" s="941"/>
      <c r="I155" s="941"/>
      <c r="J155" s="941"/>
      <c r="K155" s="941"/>
      <c r="L155" s="941"/>
      <c r="M155" s="941"/>
      <c r="N155" s="941"/>
    </row>
    <row r="156" spans="1:14" x14ac:dyDescent="0.25">
      <c r="A156" s="941"/>
      <c r="B156" s="941"/>
      <c r="C156" s="941"/>
      <c r="D156" s="941"/>
      <c r="E156" s="941"/>
      <c r="F156" s="941"/>
      <c r="G156" s="941"/>
      <c r="H156" s="941"/>
      <c r="I156" s="941"/>
      <c r="J156" s="941"/>
      <c r="K156" s="941"/>
      <c r="L156" s="941"/>
      <c r="M156" s="941"/>
      <c r="N156" s="941"/>
    </row>
    <row r="157" spans="1:14" x14ac:dyDescent="0.25">
      <c r="A157" s="941"/>
      <c r="B157" s="941"/>
      <c r="C157" s="941"/>
      <c r="D157" s="941"/>
      <c r="E157" s="941"/>
      <c r="F157" s="941"/>
      <c r="G157" s="941"/>
      <c r="H157" s="941"/>
      <c r="I157" s="941"/>
      <c r="J157" s="941"/>
      <c r="K157" s="941"/>
      <c r="L157" s="941"/>
      <c r="M157" s="941"/>
      <c r="N157" s="941"/>
    </row>
    <row r="158" spans="1:14" x14ac:dyDescent="0.25">
      <c r="A158" s="941"/>
      <c r="B158" s="941"/>
      <c r="C158" s="941"/>
      <c r="D158" s="941"/>
      <c r="E158" s="941"/>
      <c r="F158" s="941"/>
      <c r="G158" s="941"/>
      <c r="H158" s="941"/>
      <c r="I158" s="941"/>
      <c r="J158" s="941"/>
      <c r="K158" s="941"/>
      <c r="L158" s="941"/>
      <c r="M158" s="941"/>
      <c r="N158" s="941"/>
    </row>
    <row r="159" spans="1:14" x14ac:dyDescent="0.25">
      <c r="A159" s="941"/>
      <c r="B159" s="941"/>
      <c r="C159" s="941"/>
      <c r="D159" s="941"/>
      <c r="E159" s="941"/>
      <c r="F159" s="941"/>
      <c r="G159" s="941"/>
      <c r="H159" s="941"/>
      <c r="I159" s="941"/>
      <c r="J159" s="941"/>
      <c r="K159" s="941"/>
      <c r="L159" s="941"/>
      <c r="M159" s="941"/>
      <c r="N159" s="941"/>
    </row>
    <row r="160" spans="1:14" x14ac:dyDescent="0.25">
      <c r="A160" s="941"/>
      <c r="B160" s="941"/>
      <c r="C160" s="941"/>
      <c r="D160" s="941"/>
      <c r="E160" s="941"/>
      <c r="F160" s="941"/>
      <c r="G160" s="941"/>
      <c r="H160" s="941"/>
      <c r="I160" s="941"/>
      <c r="J160" s="941"/>
      <c r="K160" s="941"/>
      <c r="L160" s="941"/>
      <c r="M160" s="941"/>
      <c r="N160" s="941"/>
    </row>
    <row r="161" spans="1:14" x14ac:dyDescent="0.25">
      <c r="A161" s="941"/>
      <c r="B161" s="941"/>
      <c r="C161" s="941"/>
      <c r="D161" s="941"/>
      <c r="E161" s="941"/>
      <c r="F161" s="941"/>
      <c r="G161" s="941"/>
      <c r="H161" s="941"/>
      <c r="I161" s="941"/>
      <c r="J161" s="941"/>
      <c r="K161" s="941"/>
      <c r="L161" s="941"/>
      <c r="M161" s="941"/>
      <c r="N161" s="941"/>
    </row>
    <row r="162" spans="1:14" x14ac:dyDescent="0.25">
      <c r="A162" s="941"/>
      <c r="B162" s="941"/>
      <c r="C162" s="941"/>
      <c r="D162" s="941"/>
      <c r="E162" s="941"/>
      <c r="F162" s="941"/>
      <c r="G162" s="941"/>
      <c r="H162" s="941"/>
      <c r="I162" s="941"/>
      <c r="J162" s="941"/>
      <c r="K162" s="941"/>
      <c r="L162" s="941"/>
      <c r="M162" s="941"/>
      <c r="N162" s="941"/>
    </row>
    <row r="163" spans="1:14" x14ac:dyDescent="0.25">
      <c r="A163" s="941"/>
      <c r="B163" s="941"/>
      <c r="C163" s="941"/>
      <c r="D163" s="941"/>
      <c r="E163" s="941"/>
      <c r="F163" s="941"/>
      <c r="G163" s="941"/>
      <c r="H163" s="941"/>
      <c r="I163" s="941"/>
      <c r="J163" s="941"/>
      <c r="K163" s="941"/>
      <c r="L163" s="941"/>
      <c r="M163" s="941"/>
      <c r="N163" s="941"/>
    </row>
    <row r="164" spans="1:14" x14ac:dyDescent="0.25">
      <c r="A164" s="941"/>
      <c r="B164" s="941"/>
      <c r="C164" s="941"/>
      <c r="D164" s="941"/>
      <c r="E164" s="941"/>
      <c r="F164" s="941"/>
      <c r="G164" s="941"/>
      <c r="H164" s="941"/>
      <c r="I164" s="941"/>
      <c r="J164" s="941"/>
      <c r="K164" s="941"/>
      <c r="L164" s="941"/>
      <c r="M164" s="941"/>
      <c r="N164" s="941"/>
    </row>
    <row r="165" spans="1:14" x14ac:dyDescent="0.25">
      <c r="A165" s="941"/>
      <c r="B165" s="941"/>
      <c r="C165" s="941"/>
      <c r="D165" s="941"/>
      <c r="E165" s="941"/>
      <c r="F165" s="941"/>
      <c r="G165" s="941"/>
      <c r="H165" s="941"/>
      <c r="I165" s="941"/>
      <c r="J165" s="941"/>
      <c r="K165" s="941"/>
      <c r="L165" s="941"/>
      <c r="M165" s="941"/>
      <c r="N165" s="941"/>
    </row>
    <row r="166" spans="1:14" x14ac:dyDescent="0.25">
      <c r="A166" s="941"/>
      <c r="B166" s="941"/>
      <c r="C166" s="941"/>
      <c r="D166" s="941"/>
      <c r="E166" s="941"/>
      <c r="F166" s="941"/>
      <c r="G166" s="941"/>
      <c r="H166" s="941"/>
      <c r="I166" s="941"/>
      <c r="J166" s="941"/>
      <c r="K166" s="941"/>
      <c r="L166" s="941"/>
      <c r="M166" s="941"/>
      <c r="N166" s="941"/>
    </row>
    <row r="167" spans="1:14" x14ac:dyDescent="0.25">
      <c r="A167" s="941"/>
      <c r="B167" s="941"/>
      <c r="C167" s="941"/>
      <c r="D167" s="941"/>
      <c r="E167" s="941"/>
      <c r="F167" s="941"/>
      <c r="G167" s="941"/>
      <c r="H167" s="941"/>
      <c r="I167" s="941"/>
      <c r="J167" s="941"/>
      <c r="K167" s="941"/>
      <c r="L167" s="941"/>
      <c r="M167" s="941"/>
      <c r="N167" s="941"/>
    </row>
    <row r="168" spans="1:14" x14ac:dyDescent="0.25">
      <c r="A168" s="941"/>
      <c r="B168" s="941"/>
      <c r="C168" s="941"/>
      <c r="D168" s="941"/>
      <c r="E168" s="941"/>
      <c r="F168" s="941"/>
      <c r="G168" s="941"/>
      <c r="H168" s="941"/>
      <c r="I168" s="941"/>
      <c r="J168" s="941"/>
      <c r="K168" s="941"/>
      <c r="L168" s="941"/>
      <c r="M168" s="941"/>
      <c r="N168" s="941"/>
    </row>
    <row r="169" spans="1:14" x14ac:dyDescent="0.25">
      <c r="A169" s="941"/>
      <c r="B169" s="941"/>
      <c r="C169" s="941"/>
      <c r="D169" s="941"/>
      <c r="E169" s="941"/>
      <c r="F169" s="941"/>
      <c r="G169" s="941"/>
      <c r="H169" s="941"/>
      <c r="I169" s="941"/>
      <c r="J169" s="941"/>
      <c r="K169" s="941"/>
      <c r="L169" s="941"/>
      <c r="M169" s="941"/>
      <c r="N169" s="941"/>
    </row>
    <row r="170" spans="1:14" x14ac:dyDescent="0.25">
      <c r="A170" s="941"/>
      <c r="B170" s="941"/>
      <c r="C170" s="941"/>
      <c r="D170" s="941"/>
      <c r="E170" s="941"/>
      <c r="F170" s="941"/>
      <c r="G170" s="941"/>
      <c r="H170" s="941"/>
      <c r="I170" s="941"/>
      <c r="J170" s="941"/>
      <c r="K170" s="941"/>
      <c r="L170" s="941"/>
      <c r="M170" s="941"/>
      <c r="N170" s="941"/>
    </row>
    <row r="171" spans="1:14" x14ac:dyDescent="0.25">
      <c r="A171" s="941"/>
      <c r="B171" s="941"/>
      <c r="C171" s="941"/>
      <c r="D171" s="941"/>
      <c r="E171" s="941"/>
      <c r="F171" s="941"/>
      <c r="G171" s="941"/>
      <c r="H171" s="941"/>
      <c r="I171" s="941"/>
      <c r="J171" s="941"/>
      <c r="K171" s="941"/>
      <c r="L171" s="941"/>
      <c r="M171" s="941"/>
      <c r="N171" s="941"/>
    </row>
    <row r="172" spans="1:14" x14ac:dyDescent="0.25">
      <c r="A172" s="941"/>
      <c r="B172" s="941"/>
      <c r="C172" s="941"/>
      <c r="D172" s="941"/>
      <c r="E172" s="941"/>
      <c r="F172" s="941"/>
      <c r="G172" s="941"/>
      <c r="H172" s="941"/>
      <c r="I172" s="941"/>
      <c r="J172" s="941"/>
      <c r="K172" s="941"/>
      <c r="L172" s="941"/>
      <c r="M172" s="941"/>
      <c r="N172" s="941"/>
    </row>
    <row r="173" spans="1:14" x14ac:dyDescent="0.25">
      <c r="A173" s="941"/>
      <c r="B173" s="941"/>
      <c r="C173" s="941"/>
      <c r="D173" s="941"/>
      <c r="E173" s="941"/>
      <c r="F173" s="941"/>
      <c r="G173" s="941"/>
      <c r="H173" s="941"/>
      <c r="I173" s="941"/>
      <c r="J173" s="941"/>
      <c r="K173" s="941"/>
      <c r="L173" s="941"/>
      <c r="M173" s="941"/>
      <c r="N173" s="941"/>
    </row>
    <row r="174" spans="1:14" x14ac:dyDescent="0.25">
      <c r="A174" s="941"/>
      <c r="B174" s="941"/>
      <c r="C174" s="941"/>
      <c r="D174" s="941"/>
      <c r="E174" s="941"/>
      <c r="F174" s="941"/>
      <c r="G174" s="941"/>
      <c r="H174" s="941"/>
      <c r="I174" s="941"/>
      <c r="J174" s="941"/>
      <c r="K174" s="941"/>
      <c r="L174" s="941"/>
      <c r="M174" s="941"/>
      <c r="N174" s="941"/>
    </row>
    <row r="175" spans="1:14" x14ac:dyDescent="0.25">
      <c r="A175" s="941"/>
      <c r="B175" s="941"/>
      <c r="C175" s="941"/>
      <c r="D175" s="941"/>
      <c r="E175" s="941"/>
      <c r="F175" s="941"/>
      <c r="G175" s="941"/>
      <c r="H175" s="941"/>
      <c r="I175" s="941"/>
      <c r="J175" s="941"/>
      <c r="K175" s="941"/>
      <c r="L175" s="941"/>
      <c r="M175" s="941"/>
      <c r="N175" s="941"/>
    </row>
    <row r="176" spans="1:14" x14ac:dyDescent="0.25">
      <c r="A176" s="941"/>
      <c r="B176" s="941"/>
      <c r="C176" s="941"/>
      <c r="D176" s="941"/>
      <c r="E176" s="941"/>
      <c r="F176" s="941"/>
      <c r="G176" s="941"/>
      <c r="H176" s="941"/>
      <c r="I176" s="941"/>
      <c r="J176" s="941"/>
      <c r="K176" s="941"/>
      <c r="L176" s="941"/>
      <c r="M176" s="941"/>
      <c r="N176" s="941"/>
    </row>
    <row r="177" spans="1:14" x14ac:dyDescent="0.25">
      <c r="A177" s="941"/>
      <c r="B177" s="941"/>
      <c r="C177" s="941"/>
      <c r="D177" s="941"/>
      <c r="E177" s="941"/>
      <c r="F177" s="941"/>
      <c r="G177" s="941"/>
      <c r="H177" s="941"/>
      <c r="I177" s="941"/>
      <c r="J177" s="941"/>
      <c r="K177" s="941"/>
      <c r="L177" s="941"/>
      <c r="M177" s="941"/>
      <c r="N177" s="941"/>
    </row>
    <row r="178" spans="1:14" x14ac:dyDescent="0.25">
      <c r="A178" s="941"/>
      <c r="B178" s="941"/>
      <c r="C178" s="941"/>
      <c r="D178" s="941"/>
      <c r="E178" s="941"/>
      <c r="F178" s="941"/>
      <c r="G178" s="941"/>
      <c r="H178" s="941"/>
      <c r="I178" s="941"/>
      <c r="J178" s="941"/>
      <c r="K178" s="941"/>
      <c r="L178" s="941"/>
      <c r="M178" s="941"/>
      <c r="N178" s="941"/>
    </row>
    <row r="179" spans="1:14" x14ac:dyDescent="0.25">
      <c r="A179" s="941"/>
      <c r="B179" s="941"/>
      <c r="C179" s="941"/>
      <c r="D179" s="941"/>
      <c r="E179" s="941"/>
      <c r="F179" s="941"/>
      <c r="G179" s="941"/>
      <c r="H179" s="941"/>
      <c r="I179" s="941"/>
      <c r="J179" s="941"/>
      <c r="K179" s="941"/>
      <c r="L179" s="941"/>
      <c r="M179" s="941"/>
      <c r="N179" s="941"/>
    </row>
    <row r="180" spans="1:14" x14ac:dyDescent="0.25">
      <c r="A180" s="941"/>
      <c r="B180" s="941"/>
      <c r="C180" s="941"/>
      <c r="D180" s="941"/>
      <c r="E180" s="941"/>
      <c r="F180" s="941"/>
      <c r="G180" s="941"/>
      <c r="H180" s="941"/>
      <c r="I180" s="941"/>
      <c r="J180" s="941"/>
      <c r="K180" s="941"/>
      <c r="L180" s="941"/>
      <c r="M180" s="941"/>
      <c r="N180" s="941"/>
    </row>
    <row r="181" spans="1:14" x14ac:dyDescent="0.25">
      <c r="A181" s="941"/>
      <c r="B181" s="941"/>
      <c r="C181" s="941"/>
      <c r="D181" s="941"/>
      <c r="E181" s="941"/>
      <c r="F181" s="941"/>
      <c r="G181" s="941"/>
      <c r="H181" s="941"/>
      <c r="I181" s="941"/>
      <c r="J181" s="941"/>
      <c r="K181" s="941"/>
      <c r="L181" s="941"/>
      <c r="M181" s="941"/>
      <c r="N181" s="941"/>
    </row>
    <row r="182" spans="1:14" x14ac:dyDescent="0.25">
      <c r="A182" s="941"/>
      <c r="B182" s="941"/>
      <c r="C182" s="941"/>
      <c r="D182" s="941"/>
      <c r="E182" s="941"/>
      <c r="F182" s="941"/>
      <c r="G182" s="941"/>
      <c r="H182" s="941"/>
      <c r="I182" s="941"/>
      <c r="J182" s="941"/>
      <c r="K182" s="941"/>
      <c r="L182" s="941"/>
      <c r="M182" s="941"/>
      <c r="N182" s="941"/>
    </row>
    <row r="183" spans="1:14" x14ac:dyDescent="0.25">
      <c r="A183" s="941"/>
      <c r="B183" s="941"/>
      <c r="C183" s="941"/>
      <c r="D183" s="941"/>
      <c r="E183" s="941"/>
      <c r="F183" s="941"/>
      <c r="G183" s="941"/>
      <c r="H183" s="941"/>
      <c r="I183" s="941"/>
      <c r="J183" s="941"/>
      <c r="K183" s="941"/>
      <c r="L183" s="941"/>
      <c r="M183" s="941"/>
      <c r="N183" s="941"/>
    </row>
    <row r="184" spans="1:14" x14ac:dyDescent="0.25">
      <c r="A184" s="941"/>
      <c r="B184" s="941"/>
      <c r="C184" s="941"/>
      <c r="D184" s="941"/>
      <c r="E184" s="941"/>
      <c r="F184" s="941"/>
      <c r="G184" s="941"/>
      <c r="H184" s="941"/>
      <c r="I184" s="941"/>
      <c r="J184" s="941"/>
      <c r="K184" s="941"/>
      <c r="L184" s="941"/>
      <c r="M184" s="941"/>
      <c r="N184" s="941"/>
    </row>
    <row r="185" spans="1:14" x14ac:dyDescent="0.25">
      <c r="A185" s="941"/>
      <c r="B185" s="941"/>
      <c r="C185" s="941"/>
      <c r="D185" s="941"/>
      <c r="E185" s="941"/>
      <c r="F185" s="941"/>
      <c r="G185" s="941"/>
      <c r="H185" s="941"/>
      <c r="I185" s="941"/>
      <c r="J185" s="941"/>
      <c r="K185" s="941"/>
      <c r="L185" s="941"/>
      <c r="M185" s="941"/>
      <c r="N185" s="941"/>
    </row>
    <row r="186" spans="1:14" x14ac:dyDescent="0.25">
      <c r="A186" s="941"/>
      <c r="B186" s="941"/>
      <c r="C186" s="941"/>
      <c r="D186" s="941"/>
      <c r="E186" s="941"/>
      <c r="F186" s="941"/>
      <c r="G186" s="941"/>
      <c r="H186" s="941"/>
      <c r="I186" s="941"/>
      <c r="J186" s="941"/>
      <c r="K186" s="941"/>
      <c r="L186" s="941"/>
      <c r="M186" s="941"/>
      <c r="N186" s="941"/>
    </row>
    <row r="187" spans="1:14" x14ac:dyDescent="0.25">
      <c r="A187" s="941"/>
      <c r="B187" s="941"/>
      <c r="C187" s="941"/>
      <c r="D187" s="941"/>
      <c r="E187" s="941"/>
      <c r="F187" s="941"/>
      <c r="G187" s="941"/>
      <c r="H187" s="941"/>
      <c r="I187" s="941"/>
      <c r="J187" s="941"/>
      <c r="K187" s="941"/>
      <c r="L187" s="941"/>
      <c r="M187" s="941"/>
      <c r="N187" s="941"/>
    </row>
    <row r="188" spans="1:14" x14ac:dyDescent="0.25">
      <c r="A188" s="941"/>
      <c r="B188" s="941"/>
      <c r="C188" s="941"/>
      <c r="D188" s="941"/>
      <c r="E188" s="941"/>
      <c r="F188" s="941"/>
      <c r="G188" s="941"/>
      <c r="H188" s="941"/>
      <c r="I188" s="941"/>
      <c r="J188" s="941"/>
      <c r="K188" s="941"/>
      <c r="L188" s="941"/>
      <c r="M188" s="941"/>
      <c r="N188" s="941"/>
    </row>
    <row r="189" spans="1:14" x14ac:dyDescent="0.25">
      <c r="A189" s="941"/>
      <c r="B189" s="941"/>
      <c r="C189" s="941"/>
      <c r="D189" s="941"/>
      <c r="E189" s="941"/>
      <c r="F189" s="941"/>
      <c r="G189" s="941"/>
      <c r="H189" s="941"/>
      <c r="I189" s="941"/>
      <c r="J189" s="941"/>
      <c r="K189" s="941"/>
      <c r="L189" s="941"/>
      <c r="M189" s="941"/>
      <c r="N189" s="941"/>
    </row>
    <row r="190" spans="1:14" x14ac:dyDescent="0.25">
      <c r="A190" s="941"/>
      <c r="B190" s="941"/>
      <c r="C190" s="941"/>
      <c r="D190" s="941"/>
      <c r="E190" s="941"/>
      <c r="F190" s="941"/>
      <c r="G190" s="941"/>
      <c r="H190" s="941"/>
      <c r="I190" s="941"/>
      <c r="J190" s="941"/>
      <c r="K190" s="941"/>
      <c r="L190" s="941"/>
      <c r="M190" s="941"/>
      <c r="N190" s="941"/>
    </row>
    <row r="191" spans="1:14" x14ac:dyDescent="0.25">
      <c r="A191" s="941"/>
      <c r="B191" s="941"/>
      <c r="C191" s="941"/>
      <c r="D191" s="941"/>
      <c r="E191" s="941"/>
      <c r="F191" s="941"/>
      <c r="G191" s="941"/>
      <c r="H191" s="941"/>
      <c r="I191" s="941"/>
      <c r="J191" s="941"/>
      <c r="K191" s="941"/>
      <c r="L191" s="941"/>
      <c r="M191" s="941"/>
      <c r="N191" s="941"/>
    </row>
    <row r="192" spans="1:14" x14ac:dyDescent="0.25">
      <c r="A192" s="941"/>
      <c r="B192" s="941"/>
      <c r="C192" s="941"/>
      <c r="D192" s="941"/>
      <c r="E192" s="941"/>
      <c r="F192" s="941"/>
      <c r="G192" s="941"/>
      <c r="H192" s="941"/>
      <c r="I192" s="941"/>
      <c r="J192" s="941"/>
      <c r="K192" s="941"/>
      <c r="L192" s="941"/>
      <c r="M192" s="941"/>
      <c r="N192" s="941"/>
    </row>
    <row r="193" spans="1:14" x14ac:dyDescent="0.25">
      <c r="A193" s="941"/>
      <c r="B193" s="941"/>
      <c r="C193" s="941"/>
      <c r="D193" s="941"/>
      <c r="E193" s="941"/>
      <c r="F193" s="941"/>
      <c r="G193" s="941"/>
      <c r="H193" s="941"/>
      <c r="I193" s="941"/>
      <c r="J193" s="941"/>
      <c r="K193" s="941"/>
      <c r="L193" s="941"/>
      <c r="M193" s="941"/>
      <c r="N193" s="941"/>
    </row>
    <row r="194" spans="1:14" x14ac:dyDescent="0.25">
      <c r="A194" s="941"/>
      <c r="B194" s="941"/>
      <c r="C194" s="941"/>
      <c r="D194" s="941"/>
      <c r="E194" s="941"/>
      <c r="F194" s="941"/>
      <c r="G194" s="941"/>
      <c r="H194" s="941"/>
      <c r="I194" s="941"/>
      <c r="J194" s="941"/>
      <c r="K194" s="941"/>
      <c r="L194" s="941"/>
      <c r="M194" s="941"/>
      <c r="N194" s="941"/>
    </row>
    <row r="195" spans="1:14" x14ac:dyDescent="0.25">
      <c r="A195" s="941"/>
      <c r="B195" s="941"/>
      <c r="C195" s="941"/>
      <c r="D195" s="941"/>
      <c r="E195" s="941"/>
      <c r="F195" s="941"/>
      <c r="G195" s="941"/>
      <c r="H195" s="941"/>
      <c r="I195" s="941"/>
      <c r="J195" s="941"/>
      <c r="K195" s="941"/>
      <c r="L195" s="941"/>
      <c r="M195" s="941"/>
      <c r="N195" s="941"/>
    </row>
    <row r="196" spans="1:14" x14ac:dyDescent="0.25">
      <c r="A196" s="941"/>
      <c r="B196" s="941"/>
      <c r="C196" s="941"/>
      <c r="D196" s="941"/>
      <c r="E196" s="941"/>
      <c r="F196" s="941"/>
      <c r="G196" s="941"/>
      <c r="H196" s="941"/>
      <c r="I196" s="941"/>
      <c r="J196" s="941"/>
      <c r="K196" s="941"/>
      <c r="L196" s="941"/>
      <c r="M196" s="941"/>
      <c r="N196" s="941"/>
    </row>
    <row r="197" spans="1:14" x14ac:dyDescent="0.25">
      <c r="A197" s="941"/>
      <c r="B197" s="941"/>
      <c r="C197" s="941"/>
      <c r="D197" s="941"/>
      <c r="E197" s="941"/>
      <c r="F197" s="941"/>
      <c r="G197" s="941"/>
      <c r="H197" s="941"/>
      <c r="I197" s="941"/>
      <c r="J197" s="941"/>
      <c r="K197" s="941"/>
      <c r="L197" s="941"/>
      <c r="M197" s="941"/>
      <c r="N197" s="941"/>
    </row>
    <row r="198" spans="1:14" x14ac:dyDescent="0.25">
      <c r="A198" s="941"/>
      <c r="B198" s="941"/>
      <c r="C198" s="941"/>
      <c r="D198" s="941"/>
      <c r="E198" s="941"/>
      <c r="F198" s="941"/>
      <c r="G198" s="941"/>
      <c r="H198" s="941"/>
      <c r="I198" s="941"/>
      <c r="J198" s="941"/>
      <c r="K198" s="941"/>
      <c r="L198" s="941"/>
      <c r="M198" s="941"/>
      <c r="N198" s="941"/>
    </row>
    <row r="199" spans="1:14" x14ac:dyDescent="0.25">
      <c r="A199" s="941"/>
      <c r="B199" s="941"/>
      <c r="C199" s="941"/>
      <c r="D199" s="941"/>
      <c r="E199" s="941"/>
      <c r="F199" s="941"/>
      <c r="G199" s="941"/>
      <c r="H199" s="941"/>
      <c r="I199" s="941"/>
      <c r="J199" s="941"/>
      <c r="K199" s="941"/>
      <c r="L199" s="941"/>
      <c r="M199" s="941"/>
      <c r="N199" s="941"/>
    </row>
    <row r="200" spans="1:14" x14ac:dyDescent="0.25">
      <c r="A200" s="941"/>
      <c r="B200" s="941"/>
      <c r="C200" s="941"/>
      <c r="D200" s="941"/>
      <c r="E200" s="941"/>
      <c r="F200" s="941"/>
      <c r="G200" s="941"/>
      <c r="H200" s="941"/>
      <c r="I200" s="941"/>
      <c r="J200" s="941"/>
      <c r="K200" s="941"/>
      <c r="L200" s="941"/>
      <c r="M200" s="941"/>
      <c r="N200" s="941"/>
    </row>
    <row r="201" spans="1:14" x14ac:dyDescent="0.25">
      <c r="A201" s="941"/>
      <c r="B201" s="941"/>
      <c r="C201" s="941"/>
      <c r="D201" s="941"/>
      <c r="E201" s="941"/>
      <c r="F201" s="941"/>
      <c r="G201" s="941"/>
      <c r="H201" s="941"/>
      <c r="I201" s="941"/>
      <c r="J201" s="941"/>
      <c r="K201" s="941"/>
      <c r="L201" s="941"/>
      <c r="M201" s="941"/>
      <c r="N201" s="941"/>
    </row>
    <row r="202" spans="1:14" x14ac:dyDescent="0.25">
      <c r="A202" s="941"/>
      <c r="B202" s="941"/>
      <c r="C202" s="941"/>
      <c r="D202" s="941"/>
      <c r="E202" s="941"/>
      <c r="F202" s="941"/>
      <c r="G202" s="941"/>
      <c r="H202" s="941"/>
      <c r="I202" s="941"/>
      <c r="J202" s="941"/>
      <c r="K202" s="941"/>
      <c r="L202" s="941"/>
      <c r="M202" s="941"/>
      <c r="N202" s="941"/>
    </row>
    <row r="203" spans="1:14" x14ac:dyDescent="0.25">
      <c r="A203" s="941"/>
      <c r="B203" s="941"/>
      <c r="C203" s="941"/>
      <c r="D203" s="941"/>
      <c r="E203" s="941"/>
      <c r="F203" s="941"/>
      <c r="G203" s="941"/>
      <c r="H203" s="941"/>
      <c r="I203" s="941"/>
      <c r="J203" s="941"/>
      <c r="K203" s="941"/>
      <c r="L203" s="941"/>
      <c r="M203" s="941"/>
      <c r="N203" s="941"/>
    </row>
    <row r="204" spans="1:14" x14ac:dyDescent="0.25">
      <c r="A204" s="941"/>
      <c r="B204" s="941"/>
      <c r="C204" s="941"/>
      <c r="D204" s="941"/>
      <c r="E204" s="941"/>
      <c r="F204" s="941"/>
      <c r="G204" s="941"/>
      <c r="H204" s="941"/>
      <c r="I204" s="941"/>
      <c r="J204" s="941"/>
      <c r="K204" s="941"/>
      <c r="L204" s="941"/>
      <c r="M204" s="941"/>
      <c r="N204" s="941"/>
    </row>
    <row r="205" spans="1:14" x14ac:dyDescent="0.25">
      <c r="A205" s="941"/>
      <c r="B205" s="941"/>
      <c r="C205" s="941"/>
      <c r="D205" s="941"/>
      <c r="E205" s="941"/>
      <c r="F205" s="941"/>
      <c r="G205" s="941"/>
      <c r="H205" s="941"/>
      <c r="I205" s="941"/>
      <c r="J205" s="941"/>
      <c r="K205" s="941"/>
      <c r="L205" s="941"/>
      <c r="M205" s="941"/>
      <c r="N205" s="941"/>
    </row>
    <row r="206" spans="1:14" x14ac:dyDescent="0.25">
      <c r="A206" s="941"/>
      <c r="B206" s="941"/>
      <c r="C206" s="941"/>
      <c r="D206" s="941"/>
      <c r="E206" s="941"/>
      <c r="F206" s="941"/>
      <c r="G206" s="941"/>
      <c r="H206" s="941"/>
      <c r="I206" s="941"/>
      <c r="J206" s="941"/>
      <c r="K206" s="941"/>
      <c r="L206" s="941"/>
      <c r="M206" s="941"/>
      <c r="N206" s="941"/>
    </row>
    <row r="207" spans="1:14" x14ac:dyDescent="0.25">
      <c r="A207" s="941"/>
      <c r="B207" s="941"/>
      <c r="C207" s="941"/>
      <c r="D207" s="941"/>
      <c r="E207" s="941"/>
      <c r="F207" s="941"/>
      <c r="G207" s="941"/>
      <c r="H207" s="941"/>
      <c r="I207" s="941"/>
      <c r="J207" s="941"/>
      <c r="K207" s="941"/>
      <c r="L207" s="941"/>
      <c r="M207" s="941"/>
      <c r="N207" s="941"/>
    </row>
    <row r="208" spans="1:14" x14ac:dyDescent="0.25">
      <c r="A208" s="941"/>
      <c r="B208" s="941"/>
      <c r="C208" s="941"/>
      <c r="D208" s="941"/>
      <c r="E208" s="941"/>
      <c r="F208" s="941"/>
      <c r="G208" s="941"/>
      <c r="H208" s="941"/>
      <c r="I208" s="941"/>
      <c r="J208" s="941"/>
      <c r="K208" s="941"/>
      <c r="L208" s="941"/>
      <c r="M208" s="941"/>
      <c r="N208" s="941"/>
    </row>
    <row r="209" spans="1:14" x14ac:dyDescent="0.25">
      <c r="A209" s="941"/>
      <c r="B209" s="941"/>
      <c r="C209" s="941"/>
      <c r="D209" s="941"/>
      <c r="E209" s="941"/>
      <c r="F209" s="941"/>
      <c r="G209" s="941"/>
      <c r="H209" s="941"/>
      <c r="I209" s="941"/>
      <c r="J209" s="942"/>
      <c r="K209" s="942"/>
      <c r="L209" s="942"/>
      <c r="M209" s="942"/>
      <c r="N209" s="942"/>
    </row>
    <row r="210" spans="1:14" x14ac:dyDescent="0.25">
      <c r="A210" s="941"/>
      <c r="B210" s="941"/>
      <c r="C210" s="941"/>
      <c r="D210" s="941"/>
      <c r="E210" s="941"/>
      <c r="F210" s="941"/>
      <c r="G210" s="941"/>
      <c r="H210" s="941"/>
      <c r="I210" s="941"/>
    </row>
    <row r="211" spans="1:14" x14ac:dyDescent="0.25">
      <c r="A211" s="941"/>
      <c r="B211" s="941"/>
      <c r="C211" s="941"/>
      <c r="D211" s="941"/>
      <c r="E211" s="941"/>
      <c r="F211" s="941"/>
      <c r="G211" s="941"/>
      <c r="H211" s="941"/>
      <c r="I211" s="941"/>
    </row>
    <row r="212" spans="1:14" x14ac:dyDescent="0.25">
      <c r="A212" s="941"/>
      <c r="B212" s="941"/>
      <c r="C212" s="941"/>
      <c r="D212" s="941"/>
      <c r="E212" s="941"/>
      <c r="F212" s="941"/>
      <c r="G212" s="941"/>
      <c r="H212" s="941"/>
      <c r="I212" s="941"/>
    </row>
    <row r="213" spans="1:14" x14ac:dyDescent="0.25">
      <c r="A213" s="941"/>
      <c r="B213" s="941"/>
      <c r="C213" s="941"/>
      <c r="D213" s="941"/>
      <c r="E213" s="941"/>
      <c r="F213" s="941"/>
      <c r="G213" s="941"/>
      <c r="H213" s="941"/>
      <c r="I213" s="941"/>
    </row>
    <row r="214" spans="1:14" x14ac:dyDescent="0.25">
      <c r="A214" s="941"/>
      <c r="B214" s="941"/>
      <c r="C214" s="941"/>
      <c r="D214" s="941"/>
      <c r="E214" s="941"/>
      <c r="F214" s="941"/>
      <c r="G214" s="941"/>
      <c r="H214" s="941"/>
      <c r="I214" s="941"/>
    </row>
    <row r="215" spans="1:14" x14ac:dyDescent="0.25">
      <c r="A215" s="941"/>
      <c r="B215" s="941"/>
      <c r="C215" s="941"/>
      <c r="D215" s="941"/>
      <c r="E215" s="941"/>
      <c r="F215" s="941"/>
      <c r="G215" s="941"/>
      <c r="H215" s="941"/>
      <c r="I215" s="941"/>
    </row>
    <row r="216" spans="1:14" x14ac:dyDescent="0.25">
      <c r="A216" s="941"/>
      <c r="B216" s="941"/>
      <c r="C216" s="941"/>
      <c r="D216" s="941"/>
      <c r="E216" s="941"/>
      <c r="F216" s="941"/>
      <c r="G216" s="941"/>
      <c r="H216" s="941"/>
      <c r="I216" s="941"/>
    </row>
    <row r="217" spans="1:14" x14ac:dyDescent="0.25">
      <c r="A217" s="941"/>
      <c r="B217" s="941"/>
      <c r="C217" s="941"/>
      <c r="D217" s="941"/>
      <c r="E217" s="941"/>
      <c r="F217" s="941"/>
      <c r="G217" s="941"/>
      <c r="H217" s="941"/>
      <c r="I217" s="941"/>
    </row>
    <row r="218" spans="1:14" x14ac:dyDescent="0.25">
      <c r="A218" s="941"/>
      <c r="B218" s="941"/>
      <c r="C218" s="941"/>
      <c r="D218" s="941"/>
      <c r="E218" s="941"/>
      <c r="F218" s="941"/>
      <c r="G218" s="941"/>
      <c r="H218" s="941"/>
      <c r="I218" s="941"/>
    </row>
    <row r="219" spans="1:14" x14ac:dyDescent="0.25">
      <c r="A219" s="941"/>
      <c r="B219" s="941"/>
      <c r="C219" s="941"/>
      <c r="D219" s="941"/>
      <c r="E219" s="941"/>
      <c r="F219" s="941"/>
      <c r="G219" s="941"/>
      <c r="H219" s="941"/>
      <c r="I219" s="941"/>
    </row>
    <row r="220" spans="1:14" x14ac:dyDescent="0.25">
      <c r="A220" s="941"/>
      <c r="B220" s="941"/>
      <c r="C220" s="941"/>
      <c r="D220" s="941"/>
      <c r="E220" s="941"/>
      <c r="F220" s="941"/>
      <c r="G220" s="941"/>
      <c r="H220" s="941"/>
      <c r="I220" s="941"/>
    </row>
    <row r="221" spans="1:14" x14ac:dyDescent="0.25">
      <c r="A221" s="941"/>
      <c r="B221" s="941"/>
      <c r="C221" s="941"/>
      <c r="D221" s="941"/>
      <c r="E221" s="941"/>
      <c r="F221" s="941"/>
      <c r="G221" s="941"/>
      <c r="H221" s="941"/>
      <c r="I221" s="941"/>
    </row>
    <row r="222" spans="1:14" x14ac:dyDescent="0.25">
      <c r="A222" s="941"/>
      <c r="B222" s="941"/>
      <c r="C222" s="941"/>
      <c r="D222" s="941"/>
      <c r="E222" s="941"/>
      <c r="F222" s="941"/>
      <c r="G222" s="941"/>
      <c r="H222" s="941"/>
      <c r="I222" s="941"/>
    </row>
    <row r="223" spans="1:14" x14ac:dyDescent="0.25">
      <c r="A223" s="941"/>
      <c r="B223" s="941"/>
      <c r="C223" s="941"/>
      <c r="D223" s="941"/>
      <c r="E223" s="941"/>
      <c r="F223" s="941"/>
      <c r="G223" s="941"/>
      <c r="H223" s="941"/>
      <c r="I223" s="941"/>
    </row>
    <row r="224" spans="1:14" x14ac:dyDescent="0.25">
      <c r="A224" s="941"/>
      <c r="B224" s="941"/>
      <c r="C224" s="941"/>
      <c r="D224" s="941"/>
      <c r="E224" s="941"/>
      <c r="F224" s="941"/>
      <c r="G224" s="941"/>
      <c r="H224" s="941"/>
      <c r="I224" s="941"/>
    </row>
    <row r="225" spans="1:9" x14ac:dyDescent="0.25">
      <c r="A225" s="941"/>
      <c r="B225" s="941"/>
      <c r="C225" s="941"/>
      <c r="D225" s="941"/>
      <c r="E225" s="941"/>
      <c r="F225" s="941"/>
      <c r="G225" s="941"/>
      <c r="H225" s="941"/>
      <c r="I225" s="941"/>
    </row>
    <row r="226" spans="1:9" x14ac:dyDescent="0.25">
      <c r="A226" s="941"/>
      <c r="B226" s="941"/>
      <c r="C226" s="941"/>
      <c r="D226" s="941"/>
      <c r="E226" s="941"/>
      <c r="F226" s="941"/>
      <c r="G226" s="941"/>
      <c r="H226" s="941"/>
      <c r="I226" s="941"/>
    </row>
    <row r="227" spans="1:9" x14ac:dyDescent="0.25">
      <c r="A227" s="941"/>
      <c r="B227" s="941"/>
      <c r="C227" s="941"/>
      <c r="D227" s="941"/>
      <c r="E227" s="941"/>
      <c r="F227" s="941"/>
      <c r="G227" s="941"/>
      <c r="H227" s="941"/>
      <c r="I227" s="941"/>
    </row>
    <row r="228" spans="1:9" x14ac:dyDescent="0.25">
      <c r="A228" s="941"/>
      <c r="B228" s="941"/>
      <c r="C228" s="941"/>
      <c r="D228" s="941"/>
      <c r="E228" s="941"/>
      <c r="F228" s="941"/>
      <c r="G228" s="941"/>
      <c r="H228" s="941"/>
      <c r="I228" s="941"/>
    </row>
    <row r="229" spans="1:9" x14ac:dyDescent="0.25">
      <c r="A229" s="941"/>
      <c r="B229" s="941"/>
      <c r="C229" s="941"/>
      <c r="D229" s="941"/>
      <c r="E229" s="941"/>
      <c r="F229" s="941"/>
      <c r="G229" s="941"/>
      <c r="H229" s="941"/>
      <c r="I229" s="941"/>
    </row>
    <row r="230" spans="1:9" x14ac:dyDescent="0.25">
      <c r="A230" s="941"/>
      <c r="B230" s="941"/>
      <c r="C230" s="941"/>
      <c r="D230" s="941"/>
      <c r="E230" s="941"/>
      <c r="F230" s="941"/>
      <c r="G230" s="941"/>
      <c r="H230" s="941"/>
      <c r="I230" s="941"/>
    </row>
    <row r="231" spans="1:9" x14ac:dyDescent="0.25">
      <c r="A231" s="941"/>
      <c r="B231" s="941"/>
      <c r="C231" s="941"/>
      <c r="D231" s="941"/>
      <c r="E231" s="941"/>
      <c r="F231" s="941"/>
      <c r="G231" s="941"/>
      <c r="H231" s="941"/>
      <c r="I231" s="941"/>
    </row>
    <row r="232" spans="1:9" x14ac:dyDescent="0.25">
      <c r="A232" s="941"/>
      <c r="B232" s="941"/>
      <c r="C232" s="941"/>
      <c r="D232" s="941"/>
      <c r="E232" s="941"/>
      <c r="F232" s="941"/>
      <c r="G232" s="941"/>
      <c r="H232" s="941"/>
      <c r="I232" s="941"/>
    </row>
    <row r="233" spans="1:9" x14ac:dyDescent="0.25">
      <c r="A233" s="941"/>
      <c r="B233" s="941"/>
      <c r="C233" s="941"/>
      <c r="D233" s="941"/>
      <c r="E233" s="941"/>
      <c r="F233" s="941"/>
      <c r="G233" s="941"/>
      <c r="H233" s="941"/>
      <c r="I233" s="941"/>
    </row>
    <row r="234" spans="1:9" x14ac:dyDescent="0.25">
      <c r="A234" s="941"/>
      <c r="B234" s="941"/>
      <c r="C234" s="941"/>
      <c r="D234" s="941"/>
      <c r="E234" s="941"/>
      <c r="F234" s="941"/>
      <c r="G234" s="941"/>
      <c r="H234" s="941"/>
      <c r="I234" s="941"/>
    </row>
    <row r="235" spans="1:9" x14ac:dyDescent="0.25">
      <c r="A235" s="941"/>
      <c r="B235" s="941"/>
      <c r="C235" s="941"/>
      <c r="D235" s="941"/>
      <c r="E235" s="941"/>
      <c r="F235" s="941"/>
      <c r="G235" s="941"/>
      <c r="H235" s="941"/>
      <c r="I235" s="941"/>
    </row>
    <row r="236" spans="1:9" x14ac:dyDescent="0.25">
      <c r="A236" s="941"/>
      <c r="B236" s="941"/>
      <c r="C236" s="941"/>
      <c r="D236" s="941"/>
      <c r="E236" s="941"/>
      <c r="F236" s="941"/>
      <c r="G236" s="941"/>
      <c r="H236" s="941"/>
      <c r="I236" s="941"/>
    </row>
    <row r="237" spans="1:9" x14ac:dyDescent="0.25">
      <c r="A237" s="941"/>
      <c r="B237" s="941"/>
      <c r="C237" s="941"/>
      <c r="D237" s="941"/>
      <c r="E237" s="941"/>
      <c r="F237" s="941"/>
      <c r="G237" s="941"/>
      <c r="H237" s="941"/>
      <c r="I237" s="941"/>
    </row>
    <row r="238" spans="1:9" x14ac:dyDescent="0.25">
      <c r="A238" s="941"/>
      <c r="B238" s="941"/>
      <c r="C238" s="941"/>
      <c r="D238" s="941"/>
      <c r="E238" s="941"/>
      <c r="F238" s="941"/>
      <c r="G238" s="941"/>
      <c r="H238" s="941"/>
      <c r="I238" s="941"/>
    </row>
    <row r="239" spans="1:9" x14ac:dyDescent="0.25">
      <c r="A239" s="941"/>
      <c r="B239" s="941"/>
      <c r="C239" s="941"/>
      <c r="D239" s="941"/>
      <c r="E239" s="941"/>
      <c r="F239" s="941"/>
      <c r="G239" s="941"/>
      <c r="H239" s="941"/>
      <c r="I239" s="941"/>
    </row>
    <row r="240" spans="1:9" x14ac:dyDescent="0.25">
      <c r="A240" s="941"/>
      <c r="B240" s="941"/>
      <c r="C240" s="941"/>
      <c r="D240" s="941"/>
      <c r="E240" s="941"/>
      <c r="F240" s="941"/>
      <c r="G240" s="941"/>
      <c r="H240" s="941"/>
      <c r="I240" s="941"/>
    </row>
    <row r="241" spans="1:9" x14ac:dyDescent="0.25">
      <c r="A241" s="941"/>
      <c r="B241" s="941"/>
      <c r="C241" s="941"/>
      <c r="D241" s="941"/>
      <c r="E241" s="941"/>
      <c r="F241" s="941"/>
      <c r="G241" s="941"/>
      <c r="H241" s="941"/>
      <c r="I241" s="941"/>
    </row>
    <row r="242" spans="1:9" x14ac:dyDescent="0.25">
      <c r="A242" s="941"/>
      <c r="B242" s="941"/>
      <c r="C242" s="941"/>
      <c r="D242" s="941"/>
      <c r="E242" s="941"/>
      <c r="F242" s="941"/>
      <c r="G242" s="941"/>
      <c r="H242" s="941"/>
      <c r="I242" s="941"/>
    </row>
    <row r="243" spans="1:9" x14ac:dyDescent="0.25">
      <c r="A243" s="941"/>
      <c r="B243" s="941"/>
      <c r="C243" s="941"/>
      <c r="D243" s="941"/>
      <c r="E243" s="941"/>
      <c r="F243" s="941"/>
      <c r="G243" s="941"/>
      <c r="H243" s="941"/>
      <c r="I243" s="941"/>
    </row>
    <row r="244" spans="1:9" x14ac:dyDescent="0.25">
      <c r="A244" s="941"/>
      <c r="B244" s="941"/>
      <c r="C244" s="941"/>
      <c r="D244" s="941"/>
      <c r="E244" s="941"/>
      <c r="F244" s="941"/>
      <c r="G244" s="941"/>
      <c r="H244" s="941"/>
      <c r="I244" s="941"/>
    </row>
    <row r="245" spans="1:9" x14ac:dyDescent="0.25">
      <c r="A245" s="941"/>
      <c r="B245" s="941"/>
      <c r="C245" s="941"/>
      <c r="D245" s="941"/>
      <c r="E245" s="941"/>
      <c r="F245" s="941"/>
      <c r="G245" s="941"/>
      <c r="H245" s="941"/>
      <c r="I245" s="941"/>
    </row>
    <row r="246" spans="1:9" x14ac:dyDescent="0.25">
      <c r="A246" s="941"/>
      <c r="B246" s="941"/>
      <c r="C246" s="941"/>
      <c r="D246" s="941"/>
      <c r="E246" s="941"/>
      <c r="F246" s="941"/>
      <c r="G246" s="941"/>
      <c r="H246" s="941"/>
      <c r="I246" s="941"/>
    </row>
    <row r="247" spans="1:9" x14ac:dyDescent="0.25">
      <c r="A247" s="941"/>
      <c r="B247" s="941"/>
      <c r="C247" s="941"/>
      <c r="D247" s="941"/>
      <c r="E247" s="941"/>
      <c r="F247" s="941"/>
      <c r="G247" s="941"/>
      <c r="H247" s="941"/>
      <c r="I247" s="941"/>
    </row>
    <row r="248" spans="1:9" x14ac:dyDescent="0.25">
      <c r="A248" s="941"/>
      <c r="B248" s="941"/>
      <c r="C248" s="941"/>
      <c r="D248" s="941"/>
      <c r="E248" s="941"/>
      <c r="F248" s="941"/>
      <c r="G248" s="941"/>
      <c r="H248" s="941"/>
      <c r="I248" s="941"/>
    </row>
    <row r="249" spans="1:9" x14ac:dyDescent="0.25">
      <c r="A249" s="941"/>
      <c r="B249" s="941"/>
      <c r="C249" s="941"/>
      <c r="D249" s="941"/>
      <c r="E249" s="941"/>
      <c r="F249" s="941"/>
      <c r="G249" s="941"/>
      <c r="H249" s="941"/>
      <c r="I249" s="941"/>
    </row>
    <row r="250" spans="1:9" x14ac:dyDescent="0.25">
      <c r="A250" s="941"/>
      <c r="B250" s="941"/>
      <c r="C250" s="941"/>
      <c r="D250" s="941"/>
      <c r="E250" s="941"/>
      <c r="F250" s="941"/>
      <c r="G250" s="941"/>
      <c r="H250" s="941"/>
      <c r="I250" s="941"/>
    </row>
    <row r="251" spans="1:9" x14ac:dyDescent="0.25">
      <c r="A251" s="941"/>
      <c r="B251" s="941"/>
      <c r="C251" s="941"/>
      <c r="D251" s="941"/>
      <c r="E251" s="941"/>
      <c r="F251" s="941"/>
      <c r="G251" s="941"/>
      <c r="H251" s="941"/>
      <c r="I251" s="941"/>
    </row>
    <row r="252" spans="1:9" x14ac:dyDescent="0.25">
      <c r="A252" s="941"/>
      <c r="B252" s="941"/>
      <c r="C252" s="941"/>
      <c r="D252" s="941"/>
      <c r="E252" s="941"/>
      <c r="F252" s="941"/>
      <c r="G252" s="941"/>
      <c r="H252" s="941"/>
      <c r="I252" s="941"/>
    </row>
    <row r="253" spans="1:9" x14ac:dyDescent="0.25">
      <c r="A253" s="941"/>
      <c r="B253" s="941"/>
      <c r="C253" s="941"/>
      <c r="D253" s="941"/>
      <c r="E253" s="941"/>
      <c r="F253" s="941"/>
      <c r="G253" s="941"/>
      <c r="H253" s="941"/>
      <c r="I253" s="941"/>
    </row>
    <row r="254" spans="1:9" x14ac:dyDescent="0.25">
      <c r="A254" s="941"/>
      <c r="B254" s="941"/>
      <c r="C254" s="941"/>
      <c r="D254" s="941"/>
      <c r="E254" s="941"/>
      <c r="F254" s="941"/>
      <c r="G254" s="941"/>
      <c r="H254" s="941"/>
      <c r="I254" s="941"/>
    </row>
    <row r="255" spans="1:9" x14ac:dyDescent="0.25">
      <c r="A255" s="941"/>
      <c r="B255" s="941"/>
      <c r="C255" s="941"/>
      <c r="D255" s="941"/>
      <c r="E255" s="941"/>
      <c r="F255" s="941"/>
      <c r="G255" s="941"/>
      <c r="H255" s="941"/>
      <c r="I255" s="941"/>
    </row>
    <row r="256" spans="1:9" x14ac:dyDescent="0.25">
      <c r="A256" s="941"/>
      <c r="B256" s="941"/>
      <c r="C256" s="941"/>
      <c r="D256" s="941"/>
      <c r="E256" s="941"/>
      <c r="F256" s="941"/>
      <c r="G256" s="941"/>
      <c r="H256" s="941"/>
      <c r="I256" s="941"/>
    </row>
    <row r="257" spans="1:9" x14ac:dyDescent="0.25">
      <c r="A257" s="941"/>
      <c r="B257" s="941"/>
      <c r="C257" s="941"/>
      <c r="D257" s="941"/>
      <c r="E257" s="941"/>
      <c r="F257" s="941"/>
      <c r="G257" s="941"/>
      <c r="H257" s="941"/>
      <c r="I257" s="941"/>
    </row>
    <row r="258" spans="1:9" x14ac:dyDescent="0.25">
      <c r="A258" s="941"/>
      <c r="B258" s="941"/>
      <c r="C258" s="941"/>
      <c r="D258" s="941"/>
      <c r="E258" s="941"/>
      <c r="F258" s="941"/>
      <c r="G258" s="941"/>
      <c r="H258" s="941"/>
      <c r="I258" s="941"/>
    </row>
    <row r="259" spans="1:9" x14ac:dyDescent="0.25">
      <c r="A259" s="941"/>
      <c r="B259" s="941"/>
      <c r="C259" s="941"/>
      <c r="D259" s="941"/>
      <c r="E259" s="941"/>
      <c r="F259" s="941"/>
      <c r="G259" s="941"/>
      <c r="H259" s="941"/>
      <c r="I259" s="941"/>
    </row>
    <row r="260" spans="1:9" x14ac:dyDescent="0.25">
      <c r="A260" s="941"/>
      <c r="B260" s="941"/>
      <c r="C260" s="941"/>
      <c r="D260" s="941"/>
      <c r="E260" s="941"/>
      <c r="F260" s="941"/>
      <c r="G260" s="941"/>
      <c r="H260" s="941"/>
      <c r="I260" s="941"/>
    </row>
    <row r="261" spans="1:9" x14ac:dyDescent="0.25">
      <c r="A261" s="941"/>
      <c r="B261" s="941"/>
      <c r="C261" s="941"/>
      <c r="D261" s="941"/>
      <c r="E261" s="941"/>
      <c r="F261" s="941"/>
      <c r="G261" s="941"/>
      <c r="H261" s="941"/>
      <c r="I261" s="941"/>
    </row>
    <row r="262" spans="1:9" x14ac:dyDescent="0.25">
      <c r="A262" s="941"/>
      <c r="B262" s="941"/>
      <c r="C262" s="941"/>
      <c r="D262" s="941"/>
      <c r="E262" s="941"/>
      <c r="F262" s="941"/>
      <c r="G262" s="941"/>
      <c r="H262" s="941"/>
      <c r="I262" s="941"/>
    </row>
    <row r="263" spans="1:9" x14ac:dyDescent="0.25">
      <c r="A263" s="941"/>
      <c r="B263" s="941"/>
      <c r="C263" s="941"/>
      <c r="D263" s="941"/>
      <c r="E263" s="941"/>
      <c r="F263" s="941"/>
      <c r="G263" s="941"/>
      <c r="H263" s="941"/>
      <c r="I263" s="941"/>
    </row>
    <row r="264" spans="1:9" x14ac:dyDescent="0.25">
      <c r="A264" s="941"/>
      <c r="B264" s="941"/>
      <c r="C264" s="941"/>
      <c r="D264" s="941"/>
      <c r="E264" s="941"/>
      <c r="F264" s="941"/>
      <c r="G264" s="941"/>
      <c r="H264" s="941"/>
      <c r="I264" s="941"/>
    </row>
    <row r="265" spans="1:9" x14ac:dyDescent="0.25">
      <c r="A265" s="941"/>
      <c r="B265" s="941"/>
      <c r="C265" s="941"/>
      <c r="D265" s="941"/>
      <c r="E265" s="941"/>
      <c r="F265" s="941"/>
      <c r="G265" s="941"/>
      <c r="H265" s="941"/>
      <c r="I265" s="941"/>
    </row>
    <row r="266" spans="1:9" x14ac:dyDescent="0.25">
      <c r="A266" s="941"/>
      <c r="B266" s="941"/>
      <c r="C266" s="941"/>
      <c r="D266" s="941"/>
      <c r="E266" s="941"/>
      <c r="F266" s="941"/>
      <c r="G266" s="941"/>
      <c r="H266" s="941"/>
      <c r="I266" s="941"/>
    </row>
    <row r="267" spans="1:9" x14ac:dyDescent="0.25">
      <c r="A267" s="941"/>
      <c r="B267" s="941"/>
      <c r="C267" s="941"/>
      <c r="D267" s="941"/>
      <c r="E267" s="941"/>
      <c r="F267" s="941"/>
      <c r="G267" s="941"/>
      <c r="H267" s="941"/>
      <c r="I267" s="941"/>
    </row>
    <row r="268" spans="1:9" x14ac:dyDescent="0.25">
      <c r="A268" s="941"/>
      <c r="B268" s="941"/>
      <c r="C268" s="941"/>
      <c r="D268" s="941"/>
      <c r="E268" s="941"/>
      <c r="F268" s="941"/>
      <c r="G268" s="941"/>
      <c r="H268" s="941"/>
      <c r="I268" s="941"/>
    </row>
    <row r="269" spans="1:9" x14ac:dyDescent="0.25">
      <c r="A269" s="941"/>
      <c r="B269" s="941"/>
      <c r="C269" s="941"/>
      <c r="D269" s="941"/>
      <c r="E269" s="941"/>
      <c r="F269" s="941"/>
      <c r="G269" s="941"/>
      <c r="H269" s="941"/>
      <c r="I269" s="941"/>
    </row>
    <row r="270" spans="1:9" x14ac:dyDescent="0.25">
      <c r="A270" s="941"/>
      <c r="B270" s="941"/>
      <c r="C270" s="941"/>
      <c r="D270" s="941"/>
      <c r="E270" s="941"/>
      <c r="F270" s="941"/>
      <c r="G270" s="941"/>
      <c r="H270" s="941"/>
      <c r="I270" s="941"/>
    </row>
    <row r="271" spans="1:9" x14ac:dyDescent="0.25">
      <c r="A271" s="941"/>
      <c r="B271" s="941"/>
      <c r="C271" s="941"/>
      <c r="D271" s="941"/>
      <c r="E271" s="941"/>
      <c r="F271" s="941"/>
      <c r="G271" s="941"/>
      <c r="H271" s="941"/>
      <c r="I271" s="941"/>
    </row>
    <row r="272" spans="1:9" x14ac:dyDescent="0.25">
      <c r="A272" s="941"/>
      <c r="B272" s="941"/>
      <c r="C272" s="941"/>
      <c r="D272" s="941"/>
      <c r="E272" s="941"/>
      <c r="F272" s="941"/>
      <c r="G272" s="941"/>
      <c r="H272" s="941"/>
      <c r="I272" s="941"/>
    </row>
    <row r="273" spans="1:9" x14ac:dyDescent="0.25">
      <c r="A273" s="941"/>
      <c r="B273" s="941"/>
      <c r="C273" s="941"/>
      <c r="D273" s="941"/>
      <c r="E273" s="941"/>
      <c r="F273" s="941"/>
      <c r="G273" s="941"/>
      <c r="H273" s="941"/>
      <c r="I273" s="941"/>
    </row>
    <row r="274" spans="1:9" x14ac:dyDescent="0.25">
      <c r="A274" s="941"/>
      <c r="B274" s="941"/>
      <c r="C274" s="941"/>
      <c r="D274" s="941"/>
      <c r="E274" s="941"/>
      <c r="F274" s="941"/>
      <c r="G274" s="941"/>
      <c r="H274" s="941"/>
      <c r="I274" s="941"/>
    </row>
    <row r="275" spans="1:9" x14ac:dyDescent="0.25">
      <c r="A275" s="941"/>
      <c r="B275" s="941"/>
      <c r="C275" s="941"/>
      <c r="D275" s="941"/>
      <c r="E275" s="941"/>
      <c r="F275" s="941"/>
      <c r="G275" s="941"/>
      <c r="H275" s="941"/>
      <c r="I275" s="941"/>
    </row>
    <row r="276" spans="1:9" x14ac:dyDescent="0.25">
      <c r="A276" s="941"/>
      <c r="B276" s="941"/>
      <c r="C276" s="941"/>
      <c r="D276" s="941"/>
      <c r="E276" s="941"/>
      <c r="F276" s="941"/>
      <c r="G276" s="941"/>
      <c r="H276" s="941"/>
      <c r="I276" s="941"/>
    </row>
    <row r="277" spans="1:9" x14ac:dyDescent="0.25">
      <c r="A277" s="941"/>
      <c r="B277" s="941"/>
      <c r="C277" s="941"/>
      <c r="D277" s="941"/>
      <c r="E277" s="941"/>
      <c r="F277" s="941"/>
      <c r="G277" s="941"/>
      <c r="H277" s="941"/>
      <c r="I277" s="941"/>
    </row>
    <row r="278" spans="1:9" x14ac:dyDescent="0.25">
      <c r="A278" s="941"/>
      <c r="B278" s="941"/>
      <c r="C278" s="941"/>
      <c r="D278" s="941"/>
      <c r="E278" s="941"/>
      <c r="F278" s="941"/>
      <c r="G278" s="941"/>
      <c r="H278" s="941"/>
      <c r="I278" s="941"/>
    </row>
    <row r="279" spans="1:9" x14ac:dyDescent="0.25">
      <c r="A279" s="941"/>
      <c r="B279" s="941"/>
      <c r="C279" s="941"/>
      <c r="D279" s="941"/>
      <c r="E279" s="941"/>
      <c r="F279" s="941"/>
      <c r="G279" s="941"/>
      <c r="H279" s="941"/>
      <c r="I279" s="941"/>
    </row>
    <row r="280" spans="1:9" x14ac:dyDescent="0.25">
      <c r="A280" s="941"/>
      <c r="B280" s="941"/>
      <c r="C280" s="941"/>
      <c r="D280" s="941"/>
      <c r="E280" s="941"/>
      <c r="F280" s="941"/>
      <c r="G280" s="941"/>
      <c r="H280" s="941"/>
      <c r="I280" s="941"/>
    </row>
  </sheetData>
  <hyperlinks>
    <hyperlink ref="F2" location="BOM!A1" display="Back to BOM"/>
    <hyperlink ref="B4" location="SU_A0800" display="SU_A0800"/>
  </hyperlinks>
  <pageMargins left="0.31496062992125984" right="0.31496062992125984" top="0.31496062992125984" bottom="0.39370078740157483" header="0.51181102362204722" footer="0.31496062992125984"/>
  <pageSetup paperSize="9" scale="64" fitToHeight="99" orientation="landscape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139</vt:i4>
      </vt:variant>
      <vt:variant>
        <vt:lpstr>Plages nommées</vt:lpstr>
      </vt:variant>
      <vt:variant>
        <vt:i4>440</vt:i4>
      </vt:variant>
    </vt:vector>
  </HeadingPairs>
  <TitlesOfParts>
    <vt:vector size="579" baseType="lpstr"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SU 09003</vt:lpstr>
      <vt:lpstr>dSU 09003</vt:lpstr>
      <vt:lpstr>SU 09004</vt:lpstr>
      <vt:lpstr>dSU 09004</vt:lpstr>
      <vt:lpstr>SU A1000</vt:lpstr>
      <vt:lpstr>SU 10001</vt:lpstr>
      <vt:lpstr>dSU 10001</vt:lpstr>
      <vt:lpstr>SU 10002</vt:lpstr>
      <vt:lpstr>dSU 10002</vt:lpstr>
      <vt:lpstr>SU 10003</vt:lpstr>
      <vt:lpstr>dSU 10003</vt:lpstr>
      <vt:lpstr>SU 10004</vt:lpstr>
      <vt:lpstr>dSU 10004</vt:lpstr>
      <vt:lpstr>SU 10005</vt:lpstr>
      <vt:lpstr>dSU 10005</vt:lpstr>
      <vt:lpstr>SU A1100 </vt:lpstr>
      <vt:lpstr>SU 11001</vt:lpstr>
      <vt:lpstr>dSU 11001</vt:lpstr>
      <vt:lpstr>SU 11002</vt:lpstr>
      <vt:lpstr>dSU 11002</vt:lpstr>
      <vt:lpstr>SU 11003</vt:lpstr>
      <vt:lpstr>dSU 11003</vt:lpstr>
      <vt:lpstr>SU 11004</vt:lpstr>
      <vt:lpstr>dSU 11004</vt:lpstr>
      <vt:lpstr>SU A1200</vt:lpstr>
      <vt:lpstr>SU 12001</vt:lpstr>
      <vt:lpstr>SU 12002</vt:lpstr>
      <vt:lpstr>SU 12003</vt:lpstr>
      <vt:lpstr>SU 12004</vt:lpstr>
      <vt:lpstr>SU A1300</vt:lpstr>
      <vt:lpstr>SU 13001</vt:lpstr>
      <vt:lpstr>dSU 13001</vt:lpstr>
      <vt:lpstr>SU 13002</vt:lpstr>
      <vt:lpstr>dSU 13002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dSU_09003</vt:lpstr>
      <vt:lpstr>dSU_09004</vt:lpstr>
      <vt:lpstr>dSU_10001</vt:lpstr>
      <vt:lpstr>dSU_10002</vt:lpstr>
      <vt:lpstr>dSU_10003</vt:lpstr>
      <vt:lpstr>dSU_10004</vt:lpstr>
      <vt:lpstr>dSU_10005</vt:lpstr>
      <vt:lpstr>dSU_11001</vt:lpstr>
      <vt:lpstr>dSU_11002</vt:lpstr>
      <vt:lpstr>dSU_11003</vt:lpstr>
      <vt:lpstr>dSU_11004</vt:lpstr>
      <vt:lpstr>dSU_13001</vt:lpstr>
      <vt:lpstr>dSU_13002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SU_10001</vt:lpstr>
      <vt:lpstr>SU_10001_m</vt:lpstr>
      <vt:lpstr>SU_10001_p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SU_11001</vt:lpstr>
      <vt:lpstr>SU_11001_m</vt:lpstr>
      <vt:lpstr>SU_11001_p</vt:lpstr>
      <vt:lpstr>SU_11001_q</vt:lpstr>
      <vt:lpstr>SU_11002</vt:lpstr>
      <vt:lpstr>SU_11002_m</vt:lpstr>
      <vt:lpstr>SU_11002_p</vt:lpstr>
      <vt:lpstr>SU_11002_q</vt:lpstr>
      <vt:lpstr>SU_11003</vt:lpstr>
      <vt:lpstr>SU_11003_m</vt:lpstr>
      <vt:lpstr>SU_11003_p</vt:lpstr>
      <vt:lpstr>SU_11003_q</vt:lpstr>
      <vt:lpstr>SU_11004</vt:lpstr>
      <vt:lpstr>SU_11004_m</vt:lpstr>
      <vt:lpstr>SU_11004_p</vt:lpstr>
      <vt:lpstr>SU_11004_q</vt:lpstr>
      <vt:lpstr>SU_12001</vt:lpstr>
      <vt:lpstr>SU_12001_m</vt:lpstr>
      <vt:lpstr>SU_12001_p</vt:lpstr>
      <vt:lpstr>SU_12001_q</vt:lpstr>
      <vt:lpstr>SU_12002</vt:lpstr>
      <vt:lpstr>SU_12002_m</vt:lpstr>
      <vt:lpstr>SU_12002_p</vt:lpstr>
      <vt:lpstr>SU_12002_q</vt:lpstr>
      <vt:lpstr>SU_12003</vt:lpstr>
      <vt:lpstr>SU_12003_m</vt:lpstr>
      <vt:lpstr>SU_12003_p</vt:lpstr>
      <vt:lpstr>SU_12003_q</vt:lpstr>
      <vt:lpstr>SU_12004</vt:lpstr>
      <vt:lpstr>SU_12004_M</vt:lpstr>
      <vt:lpstr>SU_12004_P</vt:lpstr>
      <vt:lpstr>SU_12004_q</vt:lpstr>
      <vt:lpstr>SU_13001</vt:lpstr>
      <vt:lpstr>SU_13001_m</vt:lpstr>
      <vt:lpstr>SU_13001_p</vt:lpstr>
      <vt:lpstr>SU_13001_q</vt:lpstr>
      <vt:lpstr>SU_13002</vt:lpstr>
      <vt:lpstr>SU_13002_m</vt:lpstr>
      <vt:lpstr>SU_13002_p</vt:lpstr>
      <vt:lpstr>SU_13002_q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SU_A0900_BOM</vt:lpstr>
      <vt:lpstr>SU_A0900_f</vt:lpstr>
      <vt:lpstr>SU_A0900_m</vt:lpstr>
      <vt:lpstr>SU_A0900_p</vt:lpstr>
      <vt:lpstr>SU_A0900_pa</vt:lpstr>
      <vt:lpstr>SU_A0900_q</vt:lpstr>
      <vt:lpstr>SU_A0900_t</vt:lpstr>
      <vt:lpstr>SU_A1000</vt:lpstr>
      <vt:lpstr>SU_A1000_BOM</vt:lpstr>
      <vt:lpstr>SU_A1000_f</vt:lpstr>
      <vt:lpstr>SU_A1000_p</vt:lpstr>
      <vt:lpstr>SU_A1000_pa</vt:lpstr>
      <vt:lpstr>SU_A1000_q</vt:lpstr>
      <vt:lpstr>SU_A1100</vt:lpstr>
      <vt:lpstr>SU_A1100_BOM</vt:lpstr>
      <vt:lpstr>SU_A1100_f</vt:lpstr>
      <vt:lpstr>SU_A1100_p</vt:lpstr>
      <vt:lpstr>SU_A1100_pa</vt:lpstr>
      <vt:lpstr>SU_A1100_q</vt:lpstr>
      <vt:lpstr>SU_A1200</vt:lpstr>
      <vt:lpstr>SU_A1200_BOM</vt:lpstr>
      <vt:lpstr>SU_A1200_f</vt:lpstr>
      <vt:lpstr>SU_A1200_m</vt:lpstr>
      <vt:lpstr>SU_A1200_p</vt:lpstr>
      <vt:lpstr>SU_A1200_pa</vt:lpstr>
      <vt:lpstr>SU_A1200_q</vt:lpstr>
      <vt:lpstr>SU_A1200_t</vt:lpstr>
      <vt:lpstr>SU_A1300</vt:lpstr>
      <vt:lpstr>SU_A1300_BOM</vt:lpstr>
      <vt:lpstr>SU_A1300_f</vt:lpstr>
      <vt:lpstr>SU_A1300_m</vt:lpstr>
      <vt:lpstr>SU_A1300_p</vt:lpstr>
      <vt:lpstr>SU_A1300_pa</vt:lpstr>
      <vt:lpstr>SU_A1300_q</vt:lpstr>
      <vt:lpstr>'SU 01002'!Zone_d_impression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MOUNET</dc:creator>
  <cp:lastModifiedBy>Darkclem14</cp:lastModifiedBy>
  <cp:lastPrinted>2018-05-04T20:18:56Z</cp:lastPrinted>
  <dcterms:created xsi:type="dcterms:W3CDTF">2018-04-30T21:13:14Z</dcterms:created>
  <dcterms:modified xsi:type="dcterms:W3CDTF">2018-07-07T13:57:23Z</dcterms:modified>
</cp:coreProperties>
</file>